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005" windowHeight="5505" tabRatio="951"/>
  </bookViews>
  <sheets>
    <sheet name="会社規模の定義" sheetId="24" r:id="rId1"/>
    <sheet name="会計監査人の定義" sheetId="25" r:id="rId2"/>
    <sheet name="ワーク・ライフ・バランス等認定" sheetId="26" r:id="rId3"/>
    <sheet name="若手及び女性研究者数" sheetId="27" r:id="rId4"/>
    <sheet name="提案基本情報" sheetId="20" r:id="rId5"/>
    <sheet name="再委託先・共同実施先の選定理由" sheetId="21" r:id="rId6"/>
    <sheet name="全期間総括表" sheetId="7" r:id="rId7"/>
    <sheet name="(委託先)企業等" sheetId="6" r:id="rId8"/>
    <sheet name="(委託先)国立研究開発法人等" sheetId="12" r:id="rId9"/>
    <sheet name="(委託先)大学等" sheetId="1" r:id="rId10"/>
    <sheet name="(委託先)消費税の免税事業者等" sheetId="15" r:id="rId11"/>
    <sheet name="(再委託先)企業等 " sheetId="16" r:id="rId12"/>
    <sheet name="(再委託先)国立研究開発法人等 " sheetId="17" r:id="rId13"/>
    <sheet name="(再委託先)大学等 " sheetId="18" r:id="rId14"/>
    <sheet name="(再委託先)消費税の免税事業者等" sheetId="19" r:id="rId15"/>
    <sheet name="（削除・変更禁止）業種コード表" sheetId="23" r:id="rId16"/>
    <sheet name="（削除・変更禁止）データ" sheetId="22" r:id="rId17"/>
  </sheets>
  <definedNames>
    <definedName name="_xlnm.Print_Area" localSheetId="7">'(委託先)企業等'!$A$1:$F$42</definedName>
    <definedName name="_xlnm.Print_Area" localSheetId="8">'(委託先)国立研究開発法人等'!$A$1:$F$33</definedName>
    <definedName name="_xlnm.Print_Area" localSheetId="9">'(委託先)大学等'!$A$1:$F$29</definedName>
    <definedName name="_xlnm.Print_Area" localSheetId="11">'(再委託先)企業等 '!$A$1:$F$38</definedName>
    <definedName name="_xlnm.Print_Area" localSheetId="12">'(再委託先)国立研究開発法人等 '!$A$1:$F$30</definedName>
    <definedName name="_xlnm.Print_Area" localSheetId="13">'(再委託先)大学等 '!$A$1:$F$26</definedName>
    <definedName name="_xlnm.Print_Area" localSheetId="5">再委託先・共同実施先の選定理由!$A$1:$E$13</definedName>
    <definedName name="_xlnm.Print_Area" localSheetId="6">全期間総括表!$A:$G</definedName>
    <definedName name="_xlnm.Print_Area" localSheetId="4">提案基本情報!$A$1:$G$560</definedName>
    <definedName name="_xlnm.Print_Titles" localSheetId="5">再委託先・共同実施先の選定理由!$1:$1</definedName>
  </definedNames>
  <calcPr calcId="152511"/>
</workbook>
</file>

<file path=xl/calcChain.xml><?xml version="1.0" encoding="utf-8"?>
<calcChain xmlns="http://schemas.openxmlformats.org/spreadsheetml/2006/main">
  <c r="F18" i="18" l="1"/>
  <c r="E18" i="18"/>
  <c r="D18" i="18"/>
  <c r="C18" i="18"/>
  <c r="F19" i="1"/>
  <c r="E19" i="1"/>
  <c r="F22" i="7" s="1"/>
  <c r="D19" i="1"/>
  <c r="G22" i="7"/>
  <c r="G18" i="7"/>
  <c r="F18" i="7"/>
  <c r="E18" i="7"/>
  <c r="A18" i="7"/>
  <c r="A14" i="7"/>
  <c r="A10" i="7"/>
  <c r="C20" i="7"/>
  <c r="C19" i="7"/>
  <c r="A560" i="20"/>
  <c r="A559" i="20"/>
  <c r="A558" i="20"/>
  <c r="A557" i="20"/>
  <c r="A556" i="20"/>
  <c r="A555" i="20"/>
  <c r="A554" i="20"/>
  <c r="A553" i="20"/>
  <c r="A552" i="20"/>
  <c r="A551" i="20"/>
  <c r="A550" i="20"/>
  <c r="A549" i="20"/>
  <c r="A548" i="20"/>
  <c r="A547" i="20"/>
  <c r="A546" i="20"/>
  <c r="A545" i="20"/>
  <c r="A544" i="20"/>
  <c r="A543" i="20"/>
  <c r="A542" i="20"/>
  <c r="A541" i="20"/>
  <c r="A540" i="20"/>
  <c r="A539" i="20"/>
  <c r="A538" i="20"/>
  <c r="A537" i="20"/>
  <c r="A536" i="20"/>
  <c r="A535" i="20"/>
  <c r="A534" i="20"/>
  <c r="A533" i="20"/>
  <c r="A532" i="20"/>
  <c r="A531" i="20"/>
  <c r="A530" i="20"/>
  <c r="A529" i="20"/>
  <c r="A528" i="20"/>
  <c r="A527" i="20"/>
  <c r="A526" i="20"/>
  <c r="A525" i="20"/>
  <c r="A524" i="20"/>
  <c r="A523" i="20"/>
  <c r="A522" i="20"/>
  <c r="A521" i="20"/>
  <c r="A520" i="20"/>
  <c r="A519" i="20"/>
  <c r="A518" i="20"/>
  <c r="A517" i="20"/>
  <c r="A516" i="20"/>
  <c r="A515" i="20"/>
  <c r="A514" i="20"/>
  <c r="A513" i="20"/>
  <c r="A512" i="20"/>
  <c r="A511" i="20"/>
  <c r="A510" i="20"/>
  <c r="A509" i="20"/>
  <c r="A508" i="20"/>
  <c r="A507" i="20"/>
  <c r="A506" i="20"/>
  <c r="A505" i="20"/>
  <c r="A504" i="20"/>
  <c r="A503" i="20"/>
  <c r="A502" i="20"/>
  <c r="A501" i="20"/>
  <c r="A500" i="20"/>
  <c r="A499" i="20"/>
  <c r="A498" i="20"/>
  <c r="A497" i="20"/>
  <c r="A496" i="20"/>
  <c r="A495" i="20"/>
  <c r="A494" i="20"/>
  <c r="A493" i="20"/>
  <c r="A492" i="20"/>
  <c r="A491" i="20"/>
  <c r="A490" i="20"/>
  <c r="A489" i="20"/>
  <c r="A488" i="20"/>
  <c r="A487" i="20"/>
  <c r="A486" i="20"/>
  <c r="A485" i="20"/>
  <c r="A484" i="20"/>
  <c r="A483" i="20"/>
  <c r="A482" i="20"/>
  <c r="A481" i="20"/>
  <c r="A480" i="20"/>
  <c r="A479" i="20"/>
  <c r="A478" i="20"/>
  <c r="A477" i="20"/>
  <c r="A476" i="20"/>
  <c r="A475" i="20"/>
  <c r="A474" i="20"/>
  <c r="A473" i="20"/>
  <c r="A472" i="20"/>
  <c r="A471" i="20"/>
  <c r="A470" i="20"/>
  <c r="A469" i="20"/>
  <c r="A468" i="20"/>
  <c r="A467" i="20"/>
  <c r="A466" i="20"/>
  <c r="A465" i="20"/>
  <c r="A464" i="20"/>
  <c r="A463" i="20"/>
  <c r="A462" i="20"/>
  <c r="A461" i="20"/>
  <c r="A460" i="20"/>
  <c r="A459" i="20"/>
  <c r="A458" i="20"/>
  <c r="A457" i="20"/>
  <c r="A456" i="20"/>
  <c r="A455" i="20"/>
  <c r="A454" i="20"/>
  <c r="A453" i="20"/>
  <c r="A452" i="20"/>
  <c r="A451" i="20"/>
  <c r="A450" i="20"/>
  <c r="A449" i="20"/>
  <c r="A448" i="20"/>
  <c r="A447" i="20"/>
  <c r="A446" i="20"/>
  <c r="A445" i="20"/>
  <c r="A444" i="20"/>
  <c r="A443" i="20"/>
  <c r="A442" i="20"/>
  <c r="A441" i="20"/>
  <c r="A440" i="20"/>
  <c r="A439" i="20"/>
  <c r="A438" i="20"/>
  <c r="A437" i="20"/>
  <c r="A436" i="20"/>
  <c r="A435" i="20"/>
  <c r="A434" i="20"/>
  <c r="A433" i="20"/>
  <c r="A432" i="20"/>
  <c r="A431" i="20"/>
  <c r="A430" i="20"/>
  <c r="A429" i="20"/>
  <c r="A428" i="20"/>
  <c r="A427" i="20"/>
  <c r="A426" i="20"/>
  <c r="A425" i="20"/>
  <c r="A424" i="20"/>
  <c r="A423" i="20"/>
  <c r="A422" i="20"/>
  <c r="A421" i="20"/>
  <c r="A420" i="20"/>
  <c r="A419" i="20"/>
  <c r="A418" i="20"/>
  <c r="A417" i="20"/>
  <c r="A416" i="20"/>
  <c r="A415" i="20"/>
  <c r="A414" i="20"/>
  <c r="A413" i="20"/>
  <c r="A412" i="20"/>
  <c r="A411" i="20"/>
  <c r="A410" i="20"/>
  <c r="A409" i="20"/>
  <c r="A408" i="20"/>
  <c r="A407" i="20"/>
  <c r="A406" i="20"/>
  <c r="A405" i="20"/>
  <c r="A404" i="20"/>
  <c r="A403" i="20"/>
  <c r="A402" i="20"/>
  <c r="A401" i="20"/>
  <c r="A400" i="20"/>
  <c r="A399" i="20"/>
  <c r="A398" i="20"/>
  <c r="A397" i="20"/>
  <c r="A396" i="20"/>
  <c r="A395" i="20"/>
  <c r="A394" i="20"/>
  <c r="A393" i="20"/>
  <c r="A392" i="20"/>
  <c r="A391" i="20"/>
  <c r="A390" i="20"/>
  <c r="A389" i="20"/>
  <c r="A388" i="20"/>
  <c r="A387" i="20"/>
  <c r="A386" i="20"/>
  <c r="A385" i="20"/>
  <c r="A384" i="20"/>
  <c r="A383" i="20"/>
  <c r="A382" i="20"/>
  <c r="A381" i="20"/>
  <c r="A380" i="20"/>
  <c r="A379" i="20"/>
  <c r="A378" i="20"/>
  <c r="A377" i="20"/>
  <c r="A376" i="20"/>
  <c r="A375" i="20"/>
  <c r="A374" i="20"/>
  <c r="A373" i="20"/>
  <c r="A372" i="20"/>
  <c r="A371" i="20"/>
  <c r="A370" i="20"/>
  <c r="A369" i="20"/>
  <c r="A368" i="20"/>
  <c r="A367" i="20"/>
  <c r="A366" i="20"/>
  <c r="A365" i="20"/>
  <c r="A364" i="20"/>
  <c r="A363" i="20"/>
  <c r="A362" i="20"/>
  <c r="A361" i="20"/>
  <c r="A360" i="20"/>
  <c r="A359" i="20"/>
  <c r="A358" i="20"/>
  <c r="A357" i="20"/>
  <c r="A356" i="20"/>
  <c r="A355" i="20"/>
  <c r="A354" i="20"/>
  <c r="A353" i="20"/>
  <c r="A352" i="20"/>
  <c r="A351" i="20"/>
  <c r="A350" i="20"/>
  <c r="A349" i="20"/>
  <c r="A348" i="20"/>
  <c r="A347" i="20"/>
  <c r="A346" i="20"/>
  <c r="A345" i="20"/>
  <c r="A344" i="20"/>
  <c r="A343" i="20"/>
  <c r="A342" i="20"/>
  <c r="A341" i="20"/>
  <c r="A340" i="20"/>
  <c r="A339" i="20"/>
  <c r="A338" i="20"/>
  <c r="A337" i="20"/>
  <c r="A336" i="20"/>
  <c r="A335" i="20"/>
  <c r="A334" i="20"/>
  <c r="A333" i="20"/>
  <c r="A332" i="20"/>
  <c r="A331" i="20"/>
  <c r="A330" i="20"/>
  <c r="A329" i="20"/>
  <c r="A328" i="20"/>
  <c r="A327" i="20"/>
  <c r="A326" i="20"/>
  <c r="A325" i="20"/>
  <c r="A324" i="20"/>
  <c r="A323" i="20"/>
  <c r="A322" i="20"/>
  <c r="A321" i="20"/>
  <c r="A320" i="20"/>
  <c r="A319" i="20"/>
  <c r="A318" i="20"/>
  <c r="A317" i="20"/>
  <c r="A316" i="20"/>
  <c r="A315" i="20"/>
  <c r="A314" i="20"/>
  <c r="A313" i="20"/>
  <c r="A312" i="20"/>
  <c r="A311" i="20"/>
  <c r="A310" i="20"/>
  <c r="A309" i="20"/>
  <c r="A308" i="20"/>
  <c r="A307" i="20"/>
  <c r="A306" i="20"/>
  <c r="A305" i="20"/>
  <c r="A304" i="20"/>
  <c r="A303" i="20"/>
  <c r="A302" i="20"/>
  <c r="A301" i="20"/>
  <c r="A300" i="20"/>
  <c r="A299" i="20"/>
  <c r="A298" i="20"/>
  <c r="A297" i="20"/>
  <c r="A296" i="20"/>
  <c r="A295" i="20"/>
  <c r="A294" i="20"/>
  <c r="A293" i="20"/>
  <c r="A292" i="20"/>
  <c r="A291" i="20"/>
  <c r="A290" i="20"/>
  <c r="A289" i="20"/>
  <c r="A288" i="20"/>
  <c r="A287" i="20"/>
  <c r="A286" i="20"/>
  <c r="A285" i="20"/>
  <c r="A284" i="20"/>
  <c r="A283" i="20"/>
  <c r="A282" i="20"/>
  <c r="A281" i="20"/>
  <c r="A280" i="20"/>
  <c r="A279" i="20"/>
  <c r="A278" i="20"/>
  <c r="A277" i="20"/>
  <c r="A276" i="20"/>
  <c r="A275" i="20"/>
  <c r="A274" i="20"/>
  <c r="A273" i="20"/>
  <c r="A272" i="20"/>
  <c r="A271" i="20"/>
  <c r="A270" i="20"/>
  <c r="A269" i="20"/>
  <c r="A268" i="20"/>
  <c r="A267" i="20"/>
  <c r="A266" i="20"/>
  <c r="A265" i="20"/>
  <c r="A264" i="20"/>
  <c r="A263" i="20"/>
  <c r="A262" i="20"/>
  <c r="A261" i="20"/>
  <c r="A260" i="20"/>
  <c r="A259" i="20"/>
  <c r="A258" i="20"/>
  <c r="A257" i="20"/>
  <c r="A256" i="20"/>
  <c r="A255" i="20"/>
  <c r="A254" i="20"/>
  <c r="A253" i="20"/>
  <c r="A252" i="20"/>
  <c r="A251" i="20"/>
  <c r="A250" i="20"/>
  <c r="A249" i="20"/>
  <c r="A248" i="20"/>
  <c r="A247" i="20"/>
  <c r="A246" i="20"/>
  <c r="A245" i="20"/>
  <c r="A244" i="20"/>
  <c r="A243" i="20"/>
  <c r="A242" i="20"/>
  <c r="A241" i="20"/>
  <c r="A240" i="20"/>
  <c r="A239" i="20"/>
  <c r="A238" i="20"/>
  <c r="A237" i="20"/>
  <c r="A236" i="20"/>
  <c r="A235" i="20"/>
  <c r="A234" i="20"/>
  <c r="A233" i="20"/>
  <c r="A232" i="20"/>
  <c r="A231" i="20"/>
  <c r="A230" i="20"/>
  <c r="A229" i="20"/>
  <c r="A228" i="20"/>
  <c r="A227" i="20"/>
  <c r="A226" i="20"/>
  <c r="A225" i="20"/>
  <c r="A224" i="20"/>
  <c r="A223" i="20"/>
  <c r="A222" i="20"/>
  <c r="A221" i="20"/>
  <c r="A220" i="20"/>
  <c r="A219" i="20"/>
  <c r="A218" i="20"/>
  <c r="A217" i="20"/>
  <c r="A216" i="20"/>
  <c r="A215" i="20"/>
  <c r="A214" i="20"/>
  <c r="A213" i="20"/>
  <c r="A212" i="20"/>
  <c r="A211" i="20"/>
  <c r="A210" i="20"/>
  <c r="A209" i="20"/>
  <c r="A208" i="20"/>
  <c r="A207" i="20"/>
  <c r="A206" i="20"/>
  <c r="A205" i="20"/>
  <c r="A204" i="20"/>
  <c r="A203" i="20"/>
  <c r="A202" i="20"/>
  <c r="A201" i="20"/>
  <c r="A200" i="20"/>
  <c r="A199" i="20"/>
  <c r="A198" i="20"/>
  <c r="A197" i="20"/>
  <c r="A196" i="20"/>
  <c r="A195" i="20"/>
  <c r="A194" i="20"/>
  <c r="A193" i="20"/>
  <c r="A192" i="20"/>
  <c r="A191" i="20"/>
  <c r="A190" i="20"/>
  <c r="A189" i="20"/>
  <c r="A188" i="20"/>
  <c r="A187" i="20"/>
  <c r="A186" i="20"/>
  <c r="A185" i="20"/>
  <c r="A184" i="20"/>
  <c r="A183" i="20"/>
  <c r="A182" i="20"/>
  <c r="A181" i="20"/>
  <c r="A180" i="20"/>
  <c r="A179" i="20"/>
  <c r="A178" i="20"/>
  <c r="A177" i="20"/>
  <c r="A176" i="20"/>
  <c r="A175" i="20"/>
  <c r="A174" i="20"/>
  <c r="A173" i="20"/>
  <c r="A172" i="20"/>
  <c r="A171" i="20"/>
  <c r="A170" i="20"/>
  <c r="A169" i="20"/>
  <c r="A168" i="20"/>
  <c r="A167" i="20"/>
  <c r="A166" i="20"/>
  <c r="A165" i="20"/>
  <c r="A164" i="20"/>
  <c r="A163" i="20"/>
  <c r="A162" i="20"/>
  <c r="A161" i="20"/>
  <c r="A160" i="20"/>
  <c r="A159" i="20"/>
  <c r="A158" i="20"/>
  <c r="A157" i="20"/>
  <c r="A156" i="20"/>
  <c r="A155" i="20"/>
  <c r="A154" i="20"/>
  <c r="A153" i="20"/>
  <c r="A152" i="20"/>
  <c r="A151" i="20"/>
  <c r="A150" i="20"/>
  <c r="A149" i="20"/>
  <c r="A148" i="20"/>
  <c r="A147" i="20"/>
  <c r="A146" i="20"/>
  <c r="A145" i="20"/>
  <c r="A144" i="20"/>
  <c r="A143" i="20"/>
  <c r="A142" i="20"/>
  <c r="A141" i="20"/>
  <c r="A140" i="20"/>
  <c r="A139" i="20"/>
  <c r="A138" i="20"/>
  <c r="A137" i="20"/>
  <c r="A136" i="20"/>
  <c r="A135" i="20"/>
  <c r="A134" i="20"/>
  <c r="A133" i="20"/>
  <c r="A132" i="20"/>
  <c r="A131" i="20"/>
  <c r="A130" i="20"/>
  <c r="A129" i="20"/>
  <c r="A128" i="20"/>
  <c r="A127" i="20"/>
  <c r="A126" i="20"/>
  <c r="A125" i="20"/>
  <c r="A124" i="20"/>
  <c r="A123" i="20"/>
  <c r="A122" i="20"/>
  <c r="A121" i="20"/>
  <c r="A120" i="20"/>
  <c r="A119" i="20"/>
  <c r="A118" i="20"/>
  <c r="A117" i="20"/>
  <c r="A116" i="20"/>
  <c r="A115" i="20"/>
  <c r="A114" i="20"/>
  <c r="A113" i="20"/>
  <c r="A112" i="20"/>
  <c r="A111" i="20"/>
  <c r="A110" i="20"/>
  <c r="A109" i="20"/>
  <c r="A108" i="20"/>
  <c r="A107" i="20"/>
  <c r="A106" i="20"/>
  <c r="A105" i="20"/>
  <c r="A104" i="20"/>
  <c r="A103" i="20"/>
  <c r="A102" i="20"/>
  <c r="A101" i="20"/>
  <c r="A100" i="20"/>
  <c r="A99" i="20"/>
  <c r="A98" i="20"/>
  <c r="A97" i="20"/>
  <c r="A96" i="20"/>
  <c r="A95" i="20"/>
  <c r="A94" i="20"/>
  <c r="A93" i="20"/>
  <c r="A92" i="20"/>
  <c r="A91" i="20"/>
  <c r="A90" i="20"/>
  <c r="A89" i="20"/>
  <c r="A88" i="20"/>
  <c r="A87" i="20"/>
  <c r="A86" i="20"/>
  <c r="A85" i="20"/>
  <c r="A84" i="20"/>
  <c r="A83" i="20"/>
  <c r="A82" i="20"/>
  <c r="A81" i="20"/>
  <c r="A80" i="20"/>
  <c r="A79" i="20"/>
  <c r="A78" i="20"/>
  <c r="A77" i="20"/>
  <c r="A76" i="20"/>
  <c r="A75" i="20"/>
  <c r="A74" i="20"/>
  <c r="A73" i="20"/>
  <c r="A72" i="20"/>
  <c r="A70" i="20" l="1"/>
  <c r="A69" i="20"/>
  <c r="A68" i="20"/>
  <c r="A67" i="20"/>
  <c r="A66" i="20"/>
  <c r="A65" i="20"/>
  <c r="A64" i="20"/>
  <c r="A63" i="20"/>
  <c r="A62" i="20"/>
  <c r="A61" i="20"/>
  <c r="A39" i="20"/>
  <c r="A38" i="20"/>
  <c r="A37" i="20"/>
  <c r="A36" i="20"/>
  <c r="A35" i="20"/>
  <c r="A34" i="20"/>
  <c r="A33" i="20"/>
  <c r="A32" i="20"/>
  <c r="A31" i="20"/>
  <c r="A30" i="20"/>
  <c r="D4" i="23" l="1"/>
  <c r="E4" i="23" s="1"/>
  <c r="D5" i="23"/>
  <c r="E5" i="23" s="1"/>
  <c r="D6" i="23"/>
  <c r="E6" i="23" s="1"/>
  <c r="D7" i="23"/>
  <c r="E7" i="23" s="1"/>
  <c r="D8" i="23"/>
  <c r="E8" i="23" s="1"/>
  <c r="D9" i="23"/>
  <c r="E9" i="23" s="1"/>
  <c r="D10" i="23"/>
  <c r="E10" i="23" s="1"/>
  <c r="D11" i="23"/>
  <c r="E11" i="23" s="1"/>
  <c r="D12" i="23"/>
  <c r="E12" i="23" s="1"/>
  <c r="D13" i="23"/>
  <c r="E13" i="23" s="1"/>
  <c r="D14" i="23"/>
  <c r="E14" i="23" s="1"/>
  <c r="D15" i="23"/>
  <c r="E15" i="23" s="1"/>
  <c r="D102" i="23"/>
  <c r="E102" i="23" s="1"/>
  <c r="D101" i="23"/>
  <c r="E101" i="23" s="1"/>
  <c r="D100" i="23"/>
  <c r="E100" i="23" s="1"/>
  <c r="D99" i="23"/>
  <c r="E99" i="23" s="1"/>
  <c r="D98" i="23"/>
  <c r="E98" i="23" s="1"/>
  <c r="D97" i="23"/>
  <c r="E97" i="23" s="1"/>
  <c r="D96" i="23"/>
  <c r="E96" i="23" s="1"/>
  <c r="D95" i="23"/>
  <c r="E95" i="23" s="1"/>
  <c r="D94" i="23"/>
  <c r="E94" i="23" s="1"/>
  <c r="D93" i="23"/>
  <c r="E93" i="23" s="1"/>
  <c r="D92" i="23"/>
  <c r="E92" i="23" s="1"/>
  <c r="D91" i="23"/>
  <c r="E91" i="23" s="1"/>
  <c r="D90" i="23"/>
  <c r="E90" i="23" s="1"/>
  <c r="D89" i="23"/>
  <c r="E89" i="23" s="1"/>
  <c r="D88" i="23"/>
  <c r="E88" i="23" s="1"/>
  <c r="D87" i="23"/>
  <c r="E87" i="23" s="1"/>
  <c r="D86" i="23"/>
  <c r="E86" i="23" s="1"/>
  <c r="D85" i="23"/>
  <c r="E85" i="23" s="1"/>
  <c r="D84" i="23"/>
  <c r="E84" i="23" s="1"/>
  <c r="D83" i="23"/>
  <c r="E83" i="23" s="1"/>
  <c r="D82" i="23"/>
  <c r="E82" i="23" s="1"/>
  <c r="D81" i="23"/>
  <c r="E81" i="23" s="1"/>
  <c r="D80" i="23"/>
  <c r="E80" i="23" s="1"/>
  <c r="D79" i="23"/>
  <c r="E79" i="23" s="1"/>
  <c r="D78" i="23"/>
  <c r="E78" i="23" s="1"/>
  <c r="D77" i="23"/>
  <c r="E77" i="23" s="1"/>
  <c r="D76" i="23"/>
  <c r="E76" i="23" s="1"/>
  <c r="D75" i="23"/>
  <c r="E75" i="23" s="1"/>
  <c r="D74" i="23"/>
  <c r="E74" i="23" s="1"/>
  <c r="D73" i="23"/>
  <c r="E73" i="23" s="1"/>
  <c r="D72" i="23"/>
  <c r="E72" i="23" s="1"/>
  <c r="D71" i="23"/>
  <c r="E71" i="23" s="1"/>
  <c r="D70" i="23"/>
  <c r="E70" i="23" s="1"/>
  <c r="D69" i="23"/>
  <c r="E69" i="23" s="1"/>
  <c r="D68" i="23"/>
  <c r="E68" i="23" s="1"/>
  <c r="D67" i="23"/>
  <c r="E67" i="23" s="1"/>
  <c r="D66" i="23"/>
  <c r="E66" i="23" s="1"/>
  <c r="D65" i="23"/>
  <c r="E65" i="23" s="1"/>
  <c r="D64" i="23"/>
  <c r="E64" i="23" s="1"/>
  <c r="D63" i="23"/>
  <c r="E63" i="23" s="1"/>
  <c r="D62" i="23"/>
  <c r="E62" i="23" s="1"/>
  <c r="D61" i="23"/>
  <c r="E61" i="23" s="1"/>
  <c r="D60" i="23"/>
  <c r="E60" i="23" s="1"/>
  <c r="D59" i="23"/>
  <c r="E59" i="23" s="1"/>
  <c r="D58" i="23"/>
  <c r="E58" i="23" s="1"/>
  <c r="D57" i="23"/>
  <c r="E57" i="23" s="1"/>
  <c r="D56" i="23"/>
  <c r="E56" i="23" s="1"/>
  <c r="D55" i="23"/>
  <c r="E55" i="23" s="1"/>
  <c r="D54" i="23"/>
  <c r="E54" i="23" s="1"/>
  <c r="D53" i="23"/>
  <c r="E53" i="23" s="1"/>
  <c r="D52" i="23"/>
  <c r="E52" i="23" s="1"/>
  <c r="D51" i="23"/>
  <c r="E51" i="23" s="1"/>
  <c r="D50" i="23"/>
  <c r="E50" i="23" s="1"/>
  <c r="D49" i="23"/>
  <c r="E49" i="23" s="1"/>
  <c r="D48" i="23"/>
  <c r="E48" i="23" s="1"/>
  <c r="D47" i="23"/>
  <c r="E47" i="23" s="1"/>
  <c r="D46" i="23"/>
  <c r="E46" i="23" s="1"/>
  <c r="D45" i="23"/>
  <c r="E45" i="23" s="1"/>
  <c r="D44" i="23"/>
  <c r="E44" i="23" s="1"/>
  <c r="D43" i="23"/>
  <c r="E43" i="23" s="1"/>
  <c r="D42" i="23"/>
  <c r="E42" i="23" s="1"/>
  <c r="D41" i="23"/>
  <c r="E41" i="23" s="1"/>
  <c r="D40" i="23"/>
  <c r="E40" i="23" s="1"/>
  <c r="D39" i="23"/>
  <c r="E39" i="23" s="1"/>
  <c r="D38" i="23"/>
  <c r="E38" i="23" s="1"/>
  <c r="D37" i="23"/>
  <c r="E37" i="23" s="1"/>
  <c r="D36" i="23"/>
  <c r="E36" i="23" s="1"/>
  <c r="D35" i="23"/>
  <c r="E35" i="23" s="1"/>
  <c r="D34" i="23"/>
  <c r="E34" i="23" s="1"/>
  <c r="D33" i="23"/>
  <c r="E33" i="23" s="1"/>
  <c r="D32" i="23"/>
  <c r="E32" i="23" s="1"/>
  <c r="D31" i="23"/>
  <c r="E31" i="23" s="1"/>
  <c r="D30" i="23"/>
  <c r="E30" i="23" s="1"/>
  <c r="D29" i="23"/>
  <c r="E29" i="23" s="1"/>
  <c r="D28" i="23"/>
  <c r="E28" i="23" s="1"/>
  <c r="D27" i="23"/>
  <c r="E27" i="23" s="1"/>
  <c r="D26" i="23"/>
  <c r="E26" i="23" s="1"/>
  <c r="D25" i="23"/>
  <c r="E25" i="23" s="1"/>
  <c r="D24" i="23"/>
  <c r="E24" i="23" s="1"/>
  <c r="D23" i="23"/>
  <c r="E23" i="23" s="1"/>
  <c r="D22" i="23"/>
  <c r="E22" i="23" s="1"/>
  <c r="D21" i="23"/>
  <c r="E21" i="23" s="1"/>
  <c r="D20" i="23"/>
  <c r="E20" i="23" s="1"/>
  <c r="D19" i="23"/>
  <c r="E19" i="23" s="1"/>
  <c r="D18" i="23"/>
  <c r="E18" i="23" s="1"/>
  <c r="D17" i="23"/>
  <c r="E17" i="23" s="1"/>
  <c r="D16" i="23"/>
  <c r="E16" i="23" s="1"/>
  <c r="A58" i="20" l="1"/>
  <c r="A59" i="20"/>
  <c r="A60" i="20"/>
  <c r="A27" i="20"/>
  <c r="A40" i="20"/>
  <c r="A29" i="20"/>
  <c r="A28" i="20" l="1"/>
  <c r="A41" i="20" l="1"/>
  <c r="A42" i="20"/>
  <c r="A43" i="20"/>
  <c r="A44" i="20"/>
  <c r="A10" i="20"/>
  <c r="A71" i="20" l="1"/>
  <c r="A57" i="20"/>
  <c r="A56" i="20"/>
  <c r="A55" i="20"/>
  <c r="A54" i="20"/>
  <c r="A53" i="20"/>
  <c r="A52" i="20"/>
  <c r="A51" i="20"/>
  <c r="A50" i="20"/>
  <c r="A49" i="20"/>
  <c r="A48" i="20"/>
  <c r="A47" i="20"/>
  <c r="A46" i="20"/>
  <c r="A45" i="20"/>
  <c r="A26" i="20"/>
  <c r="A25" i="20"/>
  <c r="A24" i="20"/>
  <c r="A23" i="20"/>
  <c r="A22" i="20"/>
  <c r="A21" i="20"/>
  <c r="A20" i="20"/>
  <c r="A19" i="20"/>
  <c r="A18" i="20"/>
  <c r="A17" i="20"/>
  <c r="A16" i="20"/>
  <c r="A15" i="20"/>
  <c r="A14" i="20"/>
  <c r="A13" i="20"/>
  <c r="A12" i="20"/>
  <c r="A11" i="20"/>
  <c r="A9" i="20"/>
  <c r="A8" i="20"/>
  <c r="A7" i="20"/>
  <c r="A6" i="20"/>
  <c r="B26" i="15" l="1"/>
  <c r="B19" i="12"/>
  <c r="C18" i="6" l="1"/>
  <c r="B23" i="19"/>
  <c r="B22" i="19"/>
  <c r="B21" i="19"/>
  <c r="B20" i="19"/>
  <c r="F19" i="19"/>
  <c r="E19" i="19"/>
  <c r="D19" i="19"/>
  <c r="C19" i="19"/>
  <c r="B18" i="19"/>
  <c r="B17" i="19"/>
  <c r="F16" i="19"/>
  <c r="E16" i="19"/>
  <c r="D16" i="19"/>
  <c r="C16" i="19"/>
  <c r="B15" i="19"/>
  <c r="B14" i="19"/>
  <c r="B13" i="19"/>
  <c r="F12" i="19"/>
  <c r="E12" i="19"/>
  <c r="D12" i="19"/>
  <c r="C12" i="19"/>
  <c r="B12" i="19" s="1"/>
  <c r="B15" i="18"/>
  <c r="B14" i="18"/>
  <c r="B13" i="18"/>
  <c r="B12" i="18"/>
  <c r="F11" i="18"/>
  <c r="E11" i="18"/>
  <c r="D11" i="18"/>
  <c r="C11" i="18"/>
  <c r="B17" i="17"/>
  <c r="B16" i="17"/>
  <c r="B15" i="17"/>
  <c r="B14" i="17"/>
  <c r="B13" i="17"/>
  <c r="B12" i="17"/>
  <c r="F11" i="17"/>
  <c r="F18" i="17" s="1"/>
  <c r="F19" i="17" s="1"/>
  <c r="F20" i="17" s="1"/>
  <c r="E11" i="17"/>
  <c r="E18" i="17" s="1"/>
  <c r="E19" i="17" s="1"/>
  <c r="E20" i="17" s="1"/>
  <c r="D11" i="17"/>
  <c r="D18" i="17" s="1"/>
  <c r="D19" i="17" s="1"/>
  <c r="D20" i="17" s="1"/>
  <c r="C11" i="17"/>
  <c r="C18" i="17" s="1"/>
  <c r="B22" i="16"/>
  <c r="B21" i="16"/>
  <c r="B20" i="16"/>
  <c r="B19" i="16"/>
  <c r="F18" i="16"/>
  <c r="E18" i="16"/>
  <c r="D18" i="16"/>
  <c r="C18" i="16"/>
  <c r="B17" i="16"/>
  <c r="B16" i="16"/>
  <c r="F15" i="16"/>
  <c r="E15" i="16"/>
  <c r="D15" i="16"/>
  <c r="C15" i="16"/>
  <c r="B14" i="16"/>
  <c r="B13" i="16"/>
  <c r="B12" i="16"/>
  <c r="F11" i="16"/>
  <c r="E11" i="16"/>
  <c r="D11" i="16"/>
  <c r="C11" i="16"/>
  <c r="B23" i="15"/>
  <c r="B22" i="15"/>
  <c r="B21" i="15"/>
  <c r="B20" i="15"/>
  <c r="F19" i="15"/>
  <c r="E19" i="15"/>
  <c r="D19" i="15"/>
  <c r="C19" i="15"/>
  <c r="B18" i="15"/>
  <c r="B17" i="15"/>
  <c r="F16" i="15"/>
  <c r="E16" i="15"/>
  <c r="D16" i="15"/>
  <c r="C16" i="15"/>
  <c r="B15" i="15"/>
  <c r="B14" i="15"/>
  <c r="B13" i="15"/>
  <c r="F12" i="15"/>
  <c r="E12" i="15"/>
  <c r="D12" i="15"/>
  <c r="C12" i="15"/>
  <c r="D24" i="19" l="1"/>
  <c r="B19" i="19"/>
  <c r="D16" i="18"/>
  <c r="D17" i="18" s="1"/>
  <c r="B11" i="17"/>
  <c r="B16" i="19"/>
  <c r="E24" i="19"/>
  <c r="E25" i="19" s="1"/>
  <c r="E26" i="19" s="1"/>
  <c r="F24" i="19"/>
  <c r="B11" i="18"/>
  <c r="B11" i="16"/>
  <c r="B15" i="16"/>
  <c r="E23" i="16"/>
  <c r="E24" i="16" s="1"/>
  <c r="E25" i="16" s="1"/>
  <c r="E26" i="16" s="1"/>
  <c r="F23" i="16"/>
  <c r="D23" i="16"/>
  <c r="D24" i="16" s="1"/>
  <c r="D25" i="16" s="1"/>
  <c r="D26" i="16" s="1"/>
  <c r="B18" i="16"/>
  <c r="F25" i="19"/>
  <c r="F26" i="19" s="1"/>
  <c r="D25" i="19"/>
  <c r="D26" i="19" s="1"/>
  <c r="C24" i="19"/>
  <c r="C16" i="18"/>
  <c r="C17" i="18" s="1"/>
  <c r="E16" i="18"/>
  <c r="F16" i="18"/>
  <c r="C19" i="17"/>
  <c r="C20" i="17" s="1"/>
  <c r="B18" i="17"/>
  <c r="E21" i="17"/>
  <c r="D21" i="17"/>
  <c r="F21" i="17"/>
  <c r="F24" i="16"/>
  <c r="F25" i="16" s="1"/>
  <c r="F26" i="16" s="1"/>
  <c r="C23" i="16"/>
  <c r="C24" i="15"/>
  <c r="E24" i="15"/>
  <c r="E25" i="15" s="1"/>
  <c r="F24" i="15"/>
  <c r="B16" i="15"/>
  <c r="B12" i="15"/>
  <c r="D24" i="15"/>
  <c r="B19" i="15"/>
  <c r="C25" i="15"/>
  <c r="F25" i="15"/>
  <c r="D11" i="1"/>
  <c r="D16" i="1" s="1"/>
  <c r="D18" i="1" s="1"/>
  <c r="E22" i="7" s="1"/>
  <c r="E11" i="1"/>
  <c r="E16" i="1" s="1"/>
  <c r="E18" i="1" s="1"/>
  <c r="D11" i="12"/>
  <c r="D18" i="12" s="1"/>
  <c r="D20" i="12" s="1"/>
  <c r="D21" i="12" s="1"/>
  <c r="E11" i="12"/>
  <c r="E18" i="12" s="1"/>
  <c r="E20" i="12" s="1"/>
  <c r="E21" i="12" s="1"/>
  <c r="D11" i="6"/>
  <c r="E11" i="6"/>
  <c r="D15" i="6"/>
  <c r="E15" i="6"/>
  <c r="D18" i="6"/>
  <c r="E18" i="6"/>
  <c r="F17" i="18" l="1"/>
  <c r="E17" i="18"/>
  <c r="D23" i="6"/>
  <c r="D24" i="6" s="1"/>
  <c r="D26" i="6" s="1"/>
  <c r="D27" i="6" s="1"/>
  <c r="F27" i="15"/>
  <c r="C27" i="15"/>
  <c r="D25" i="15"/>
  <c r="D27" i="15" s="1"/>
  <c r="E27" i="15"/>
  <c r="B24" i="19"/>
  <c r="C25" i="19"/>
  <c r="B25" i="19" s="1"/>
  <c r="B16" i="18"/>
  <c r="B20" i="17"/>
  <c r="B19" i="17"/>
  <c r="E27" i="16"/>
  <c r="F27" i="16"/>
  <c r="D27" i="16"/>
  <c r="B23" i="16"/>
  <c r="C24" i="16"/>
  <c r="B24" i="16" s="1"/>
  <c r="B24" i="15"/>
  <c r="E23" i="6"/>
  <c r="E24" i="6" s="1"/>
  <c r="E26" i="6" s="1"/>
  <c r="E27" i="6" s="1"/>
  <c r="E14" i="7"/>
  <c r="F14" i="7"/>
  <c r="D22" i="12"/>
  <c r="C11" i="7"/>
  <c r="D28" i="6" l="1"/>
  <c r="E10" i="7" s="1"/>
  <c r="B25" i="15"/>
  <c r="C26" i="19"/>
  <c r="B26" i="19" s="1"/>
  <c r="C21" i="17"/>
  <c r="B21" i="17" s="1"/>
  <c r="B18" i="18"/>
  <c r="B17" i="18"/>
  <c r="C25" i="16"/>
  <c r="C26" i="16" s="1"/>
  <c r="B27" i="15"/>
  <c r="E22" i="12"/>
  <c r="E21" i="7" l="1"/>
  <c r="E23" i="7" s="1"/>
  <c r="E24" i="7"/>
  <c r="B26" i="16"/>
  <c r="B25" i="16"/>
  <c r="F24" i="7"/>
  <c r="E28" i="6"/>
  <c r="F11" i="12"/>
  <c r="F18" i="12" s="1"/>
  <c r="F20" i="12" s="1"/>
  <c r="F21" i="12" s="1"/>
  <c r="C11" i="12"/>
  <c r="C18" i="12" s="1"/>
  <c r="C20" i="12" s="1"/>
  <c r="C21" i="12" s="1"/>
  <c r="B17" i="12"/>
  <c r="B16" i="12"/>
  <c r="B15" i="12"/>
  <c r="B14" i="12"/>
  <c r="B13" i="12"/>
  <c r="B12" i="12"/>
  <c r="C27" i="16" l="1"/>
  <c r="B27" i="16" s="1"/>
  <c r="F10" i="7"/>
  <c r="B18" i="12"/>
  <c r="B11" i="12"/>
  <c r="C17" i="7"/>
  <c r="C16" i="7"/>
  <c r="C15" i="7"/>
  <c r="C13" i="7"/>
  <c r="C12" i="7"/>
  <c r="F11" i="6"/>
  <c r="F18" i="6"/>
  <c r="F23" i="6" s="1"/>
  <c r="F24" i="6" s="1"/>
  <c r="F15" i="6"/>
  <c r="B13" i="6"/>
  <c r="B14" i="6"/>
  <c r="B21" i="6"/>
  <c r="B20" i="6"/>
  <c r="B22" i="6"/>
  <c r="B16" i="6"/>
  <c r="B17" i="6"/>
  <c r="B19" i="6"/>
  <c r="B25" i="6"/>
  <c r="C15" i="6"/>
  <c r="B15" i="6" s="1"/>
  <c r="C11" i="6"/>
  <c r="B12" i="6"/>
  <c r="B11" i="6"/>
  <c r="B17" i="1"/>
  <c r="B13" i="1"/>
  <c r="B14" i="1"/>
  <c r="B15" i="1"/>
  <c r="B12" i="1"/>
  <c r="F11" i="1"/>
  <c r="F16" i="1" s="1"/>
  <c r="F18" i="1" s="1"/>
  <c r="C11" i="1"/>
  <c r="F23" i="7" l="1"/>
  <c r="F21" i="7"/>
  <c r="C23" i="6"/>
  <c r="C24" i="6" s="1"/>
  <c r="B18" i="6"/>
  <c r="C16" i="1"/>
  <c r="C18" i="1" s="1"/>
  <c r="C19" i="1" s="1"/>
  <c r="D22" i="7" s="1"/>
  <c r="B11" i="1"/>
  <c r="G14" i="7"/>
  <c r="F26" i="6"/>
  <c r="F27" i="6" s="1"/>
  <c r="C26" i="6" l="1"/>
  <c r="C27" i="6" s="1"/>
  <c r="B24" i="6"/>
  <c r="B23" i="6"/>
  <c r="B16" i="1"/>
  <c r="D14" i="7"/>
  <c r="C14" i="7" s="1"/>
  <c r="B18" i="1"/>
  <c r="B21" i="12"/>
  <c r="B20" i="12"/>
  <c r="F22" i="12"/>
  <c r="F28" i="6"/>
  <c r="C28" i="6" l="1"/>
  <c r="B26" i="6"/>
  <c r="B19" i="1"/>
  <c r="C22" i="12"/>
  <c r="D18" i="7" s="1"/>
  <c r="C18" i="7" s="1"/>
  <c r="G10" i="7"/>
  <c r="G21" i="7" s="1"/>
  <c r="D10" i="7" l="1"/>
  <c r="B28" i="6"/>
  <c r="B27" i="6"/>
  <c r="D24" i="7"/>
  <c r="B22" i="12"/>
  <c r="G24" i="7"/>
  <c r="D21" i="7" l="1"/>
  <c r="D23" i="7" s="1"/>
  <c r="C10" i="7"/>
  <c r="C22" i="7"/>
  <c r="C24" i="7" s="1"/>
  <c r="G23" i="7"/>
  <c r="C21" i="7" l="1"/>
  <c r="C23" i="7" s="1"/>
</calcChain>
</file>

<file path=xl/sharedStrings.xml><?xml version="1.0" encoding="utf-8"?>
<sst xmlns="http://schemas.openxmlformats.org/spreadsheetml/2006/main" count="2587" uniqueCount="404">
  <si>
    <t>項目</t>
    <rPh sb="0" eb="2">
      <t>コウモク</t>
    </rPh>
    <phoneticPr fontId="3"/>
  </si>
  <si>
    <t>Ⅰ．直接経費</t>
    <rPh sb="2" eb="4">
      <t>チョクセツ</t>
    </rPh>
    <rPh sb="4" eb="6">
      <t>ケイヒ</t>
    </rPh>
    <phoneticPr fontId="3"/>
  </si>
  <si>
    <t>　１．物品費</t>
    <rPh sb="3" eb="5">
      <t>ブッピン</t>
    </rPh>
    <rPh sb="5" eb="6">
      <t>ヒ</t>
    </rPh>
    <phoneticPr fontId="3"/>
  </si>
  <si>
    <t>　２．人件費・謝金</t>
    <rPh sb="3" eb="6">
      <t>ジンケンヒ</t>
    </rPh>
    <rPh sb="7" eb="9">
      <t>シャキン</t>
    </rPh>
    <phoneticPr fontId="3"/>
  </si>
  <si>
    <t>　３．旅費</t>
    <rPh sb="3" eb="5">
      <t>リョヒ</t>
    </rPh>
    <phoneticPr fontId="3"/>
  </si>
  <si>
    <t>　４．その他</t>
    <rPh sb="5" eb="6">
      <t>タ</t>
    </rPh>
    <phoneticPr fontId="3"/>
  </si>
  <si>
    <t>Ⅱ．間接経費</t>
    <rPh sb="2" eb="4">
      <t>カンセツ</t>
    </rPh>
    <rPh sb="4" eb="6">
      <t>ケイヒ</t>
    </rPh>
    <phoneticPr fontId="3"/>
  </si>
  <si>
    <t>Ⅲ．再委託費・共同実施費</t>
    <rPh sb="2" eb="5">
      <t>サイイタク</t>
    </rPh>
    <rPh sb="5" eb="6">
      <t>ヒ</t>
    </rPh>
    <rPh sb="7" eb="9">
      <t>キョウドウ</t>
    </rPh>
    <rPh sb="9" eb="11">
      <t>ジッシ</t>
    </rPh>
    <rPh sb="11" eb="12">
      <t>ヒ</t>
    </rPh>
    <phoneticPr fontId="3"/>
  </si>
  <si>
    <t>事業期間全体</t>
    <rPh sb="0" eb="2">
      <t>ジギョウ</t>
    </rPh>
    <rPh sb="2" eb="4">
      <t>キカン</t>
    </rPh>
    <rPh sb="4" eb="6">
      <t>ゼンタイ</t>
    </rPh>
    <phoneticPr fontId="3"/>
  </si>
  <si>
    <t>（単位：円）</t>
    <rPh sb="1" eb="3">
      <t>タンイ</t>
    </rPh>
    <rPh sb="4" eb="5">
      <t>エン</t>
    </rPh>
    <phoneticPr fontId="3"/>
  </si>
  <si>
    <t>Ⅰ．機械装置等費</t>
    <rPh sb="2" eb="4">
      <t>キカイ</t>
    </rPh>
    <rPh sb="4" eb="6">
      <t>ソウチ</t>
    </rPh>
    <rPh sb="6" eb="7">
      <t>トウ</t>
    </rPh>
    <rPh sb="7" eb="8">
      <t>ヒ</t>
    </rPh>
    <phoneticPr fontId="3"/>
  </si>
  <si>
    <t>　１．土木・建築工事費</t>
    <rPh sb="3" eb="5">
      <t>ドボク</t>
    </rPh>
    <rPh sb="6" eb="8">
      <t>ケンチク</t>
    </rPh>
    <rPh sb="8" eb="11">
      <t>コウジヒ</t>
    </rPh>
    <phoneticPr fontId="3"/>
  </si>
  <si>
    <t>　２．機械装置等製作・購入費</t>
    <rPh sb="3" eb="5">
      <t>キカイ</t>
    </rPh>
    <rPh sb="5" eb="7">
      <t>ソウチ</t>
    </rPh>
    <rPh sb="7" eb="8">
      <t>トウ</t>
    </rPh>
    <rPh sb="8" eb="10">
      <t>セイサク</t>
    </rPh>
    <rPh sb="11" eb="13">
      <t>コウニュウ</t>
    </rPh>
    <rPh sb="13" eb="14">
      <t>ヒ</t>
    </rPh>
    <phoneticPr fontId="3"/>
  </si>
  <si>
    <t>　３．保守・改造修理費</t>
    <rPh sb="3" eb="5">
      <t>ホシュ</t>
    </rPh>
    <rPh sb="6" eb="8">
      <t>カイゾウ</t>
    </rPh>
    <rPh sb="8" eb="11">
      <t>シュウリヒ</t>
    </rPh>
    <phoneticPr fontId="3"/>
  </si>
  <si>
    <t>Ⅱ．労務費</t>
    <rPh sb="2" eb="5">
      <t>ロウムヒ</t>
    </rPh>
    <phoneticPr fontId="3"/>
  </si>
  <si>
    <t>　１．研究員費</t>
    <rPh sb="3" eb="6">
      <t>ケンキュウイン</t>
    </rPh>
    <rPh sb="6" eb="7">
      <t>ヒ</t>
    </rPh>
    <phoneticPr fontId="3"/>
  </si>
  <si>
    <t>　２．補助員費</t>
    <rPh sb="3" eb="6">
      <t>ホジョイン</t>
    </rPh>
    <rPh sb="6" eb="7">
      <t>ヒ</t>
    </rPh>
    <phoneticPr fontId="3"/>
  </si>
  <si>
    <t>Ⅲ．その他経費</t>
    <rPh sb="4" eb="5">
      <t>タ</t>
    </rPh>
    <rPh sb="5" eb="7">
      <t>ケイヒ</t>
    </rPh>
    <phoneticPr fontId="3"/>
  </si>
  <si>
    <t>　１．消耗品費</t>
    <rPh sb="3" eb="6">
      <t>ショウモウヒン</t>
    </rPh>
    <rPh sb="6" eb="7">
      <t>ヒ</t>
    </rPh>
    <phoneticPr fontId="3"/>
  </si>
  <si>
    <t>　２．旅費</t>
    <rPh sb="3" eb="5">
      <t>リョヒ</t>
    </rPh>
    <phoneticPr fontId="3"/>
  </si>
  <si>
    <t>　３．外注費</t>
    <rPh sb="3" eb="6">
      <t>ガイチュウヒ</t>
    </rPh>
    <phoneticPr fontId="3"/>
  </si>
  <si>
    <t>　４．諸経費</t>
    <rPh sb="3" eb="6">
      <t>ショケイヒ</t>
    </rPh>
    <phoneticPr fontId="3"/>
  </si>
  <si>
    <t>Ⅳ．間接経費</t>
    <rPh sb="2" eb="4">
      <t>カンセツ</t>
    </rPh>
    <rPh sb="4" eb="6">
      <t>ケイヒ</t>
    </rPh>
    <phoneticPr fontId="3"/>
  </si>
  <si>
    <t>Ⅴ．再委託費・共同実施費</t>
    <rPh sb="2" eb="5">
      <t>サイイタク</t>
    </rPh>
    <rPh sb="5" eb="6">
      <t>ヒ</t>
    </rPh>
    <rPh sb="7" eb="9">
      <t>キョウドウ</t>
    </rPh>
    <rPh sb="9" eb="11">
      <t>ジッシ</t>
    </rPh>
    <rPh sb="11" eb="12">
      <t>ヒ</t>
    </rPh>
    <phoneticPr fontId="3"/>
  </si>
  <si>
    <t>国立大学法人☆☆☆大学</t>
    <rPh sb="0" eb="2">
      <t>コクリツ</t>
    </rPh>
    <rPh sb="2" eb="4">
      <t>ダイガク</t>
    </rPh>
    <rPh sb="4" eb="6">
      <t>ホウジン</t>
    </rPh>
    <rPh sb="9" eb="11">
      <t>ダイガク</t>
    </rPh>
    <phoneticPr fontId="3"/>
  </si>
  <si>
    <t>株式会社○○○○</t>
    <rPh sb="0" eb="2">
      <t>カブシキ</t>
    </rPh>
    <rPh sb="2" eb="4">
      <t>カイシャ</t>
    </rPh>
    <phoneticPr fontId="3"/>
  </si>
  <si>
    <t>合計（Ⅰ＋Ⅱ＋Ⅲ＋Ⅳ＋Ⅴ）</t>
    <rPh sb="0" eb="2">
      <t>ゴウケイ</t>
    </rPh>
    <phoneticPr fontId="3"/>
  </si>
  <si>
    <t>国立大学法人★★★大学</t>
    <rPh sb="0" eb="2">
      <t>コクリツ</t>
    </rPh>
    <rPh sb="2" eb="4">
      <t>ダイガク</t>
    </rPh>
    <rPh sb="4" eb="6">
      <t>ホウジン</t>
    </rPh>
    <rPh sb="9" eb="11">
      <t>ダイガク</t>
    </rPh>
    <phoneticPr fontId="3"/>
  </si>
  <si>
    <t>総計（Ⅰ＋Ⅱ＋Ⅲ）</t>
    <rPh sb="0" eb="2">
      <t>ソウケイ</t>
    </rPh>
    <phoneticPr fontId="3"/>
  </si>
  <si>
    <t>●●●●株式会社</t>
    <rPh sb="4" eb="6">
      <t>カブシキ</t>
    </rPh>
    <rPh sb="6" eb="8">
      <t>カイシャ</t>
    </rPh>
    <phoneticPr fontId="3"/>
  </si>
  <si>
    <t>小計（Ⅰ＋Ⅱ＋Ⅲ）</t>
    <rPh sb="0" eb="2">
      <t>ショウケイ</t>
    </rPh>
    <phoneticPr fontId="3"/>
  </si>
  <si>
    <t>総計</t>
    <rPh sb="0" eb="2">
      <t>ソウケイ</t>
    </rPh>
    <phoneticPr fontId="3"/>
  </si>
  <si>
    <t>　＊うちNEDO負担額</t>
    <rPh sb="8" eb="11">
      <t>フタンガク</t>
    </rPh>
    <phoneticPr fontId="3"/>
  </si>
  <si>
    <t>　＊うちNEDO負担消費税等額</t>
    <rPh sb="8" eb="10">
      <t>フタン</t>
    </rPh>
    <rPh sb="10" eb="13">
      <t>ショウヒゼイ</t>
    </rPh>
    <rPh sb="13" eb="14">
      <t>トウ</t>
    </rPh>
    <rPh sb="14" eb="15">
      <t>ガク</t>
    </rPh>
    <phoneticPr fontId="3"/>
  </si>
  <si>
    <t>（１）全期間総括表</t>
    <rPh sb="3" eb="6">
      <t>ゼンキカン</t>
    </rPh>
    <rPh sb="6" eb="8">
      <t>ソウカツ</t>
    </rPh>
    <rPh sb="8" eb="9">
      <t>ヒョウ</t>
    </rPh>
    <phoneticPr fontId="3"/>
  </si>
  <si>
    <t>委託先名</t>
    <rPh sb="0" eb="3">
      <t>イタクサキ</t>
    </rPh>
    <rPh sb="3" eb="4">
      <t>メイ</t>
    </rPh>
    <phoneticPr fontId="3"/>
  </si>
  <si>
    <t>国立大学法人□□大学</t>
    <rPh sb="0" eb="2">
      <t>コクリツ</t>
    </rPh>
    <rPh sb="2" eb="4">
      <t>ダイガク</t>
    </rPh>
    <rPh sb="4" eb="6">
      <t>ホウジン</t>
    </rPh>
    <rPh sb="8" eb="10">
      <t>ダイガク</t>
    </rPh>
    <phoneticPr fontId="3"/>
  </si>
  <si>
    <t>株式会社□□</t>
    <rPh sb="0" eb="2">
      <t>カブシキ</t>
    </rPh>
    <rPh sb="2" eb="4">
      <t>カイシャ</t>
    </rPh>
    <phoneticPr fontId="3"/>
  </si>
  <si>
    <t>再委託先名・共同実施先名</t>
    <rPh sb="0" eb="3">
      <t>サイイタク</t>
    </rPh>
    <rPh sb="3" eb="4">
      <t>サキ</t>
    </rPh>
    <rPh sb="4" eb="5">
      <t>メイ</t>
    </rPh>
    <rPh sb="6" eb="8">
      <t>キョウドウ</t>
    </rPh>
    <rPh sb="8" eb="10">
      <t>ジッシ</t>
    </rPh>
    <rPh sb="10" eb="11">
      <t>サキ</t>
    </rPh>
    <rPh sb="11" eb="12">
      <t>メイ</t>
    </rPh>
    <phoneticPr fontId="3"/>
  </si>
  <si>
    <t>うち共同実施</t>
    <rPh sb="2" eb="4">
      <t>キョウドウ</t>
    </rPh>
    <rPh sb="4" eb="6">
      <t>ジッシ</t>
    </rPh>
    <phoneticPr fontId="3"/>
  </si>
  <si>
    <t>合計（Ⅰ＋Ⅱ）</t>
    <rPh sb="0" eb="2">
      <t>ゴウケイ</t>
    </rPh>
    <phoneticPr fontId="3"/>
  </si>
  <si>
    <t>うち再委託 　</t>
    <rPh sb="2" eb="5">
      <t>サイイタク</t>
    </rPh>
    <phoneticPr fontId="3"/>
  </si>
  <si>
    <t>学校法人△△△大学</t>
    <rPh sb="0" eb="2">
      <t>ガッコウ</t>
    </rPh>
    <rPh sb="2" eb="4">
      <t>ホウジン</t>
    </rPh>
    <rPh sb="7" eb="9">
      <t>ダイガク</t>
    </rPh>
    <phoneticPr fontId="3"/>
  </si>
  <si>
    <t>学校法人▽▽大学</t>
    <rPh sb="0" eb="2">
      <t>ガッコウ</t>
    </rPh>
    <rPh sb="2" eb="4">
      <t>ホウジン</t>
    </rPh>
    <rPh sb="6" eb="8">
      <t>ダイガク</t>
    </rPh>
    <phoneticPr fontId="3"/>
  </si>
  <si>
    <t>（単位：円、消費税及び地方消費税込み）</t>
    <rPh sb="1" eb="3">
      <t>タンイ</t>
    </rPh>
    <rPh sb="4" eb="5">
      <t>エン</t>
    </rPh>
    <rPh sb="6" eb="9">
      <t>ショウヒゼイ</t>
    </rPh>
    <rPh sb="9" eb="10">
      <t>オヨ</t>
    </rPh>
    <rPh sb="11" eb="13">
      <t>チホウ</t>
    </rPh>
    <rPh sb="13" eb="16">
      <t>ショウヒゼイ</t>
    </rPh>
    <rPh sb="16" eb="17">
      <t>コ</t>
    </rPh>
    <phoneticPr fontId="3"/>
  </si>
  <si>
    <t>　 １．備品費</t>
    <rPh sb="4" eb="6">
      <t>ビヒン</t>
    </rPh>
    <rPh sb="6" eb="7">
      <t>ヒ</t>
    </rPh>
    <phoneticPr fontId="3"/>
  </si>
  <si>
    <t>　 ２．消耗品費</t>
    <rPh sb="4" eb="6">
      <t>ショウモウ</t>
    </rPh>
    <rPh sb="6" eb="7">
      <t>ヒン</t>
    </rPh>
    <rPh sb="7" eb="8">
      <t>ヒ</t>
    </rPh>
    <phoneticPr fontId="3"/>
  </si>
  <si>
    <t>　 ３．人件費</t>
    <rPh sb="4" eb="6">
      <t>ジンケン</t>
    </rPh>
    <rPh sb="6" eb="7">
      <t>ヒ</t>
    </rPh>
    <phoneticPr fontId="3"/>
  </si>
  <si>
    <t>　 ４．光熱水費</t>
    <rPh sb="4" eb="6">
      <t>コウネツ</t>
    </rPh>
    <rPh sb="6" eb="7">
      <t>スイ</t>
    </rPh>
    <rPh sb="7" eb="8">
      <t>ヒ</t>
    </rPh>
    <phoneticPr fontId="3"/>
  </si>
  <si>
    <t>　 ５．旅費</t>
    <rPh sb="4" eb="6">
      <t>リョヒ</t>
    </rPh>
    <phoneticPr fontId="3"/>
  </si>
  <si>
    <t>　 ６．その他</t>
    <rPh sb="6" eb="7">
      <t>タ</t>
    </rPh>
    <phoneticPr fontId="3"/>
  </si>
  <si>
    <t>国立研究開発法人■■■■機構</t>
    <rPh sb="0" eb="2">
      <t>コクリツ</t>
    </rPh>
    <rPh sb="2" eb="4">
      <t>ケンキュウ</t>
    </rPh>
    <rPh sb="4" eb="6">
      <t>カイハツ</t>
    </rPh>
    <rPh sb="6" eb="8">
      <t>ホウジン</t>
    </rPh>
    <rPh sb="12" eb="14">
      <t>キコウ</t>
    </rPh>
    <phoneticPr fontId="3"/>
  </si>
  <si>
    <t>2020年度</t>
    <rPh sb="4" eb="6">
      <t>ネンド</t>
    </rPh>
    <phoneticPr fontId="3"/>
  </si>
  <si>
    <t>2021年度</t>
    <rPh sb="4" eb="6">
      <t>ネンド</t>
    </rPh>
    <phoneticPr fontId="3"/>
  </si>
  <si>
    <t>2022年度</t>
    <rPh sb="4" eb="6">
      <t>ネンド</t>
    </rPh>
    <phoneticPr fontId="3"/>
  </si>
  <si>
    <t>（注）</t>
  </si>
  <si>
    <t>1. 間接経費は、中小企業等は20％、その他は10％とし、Ⅰ～Ⅲの経費総額に対して算定してください。</t>
  </si>
  <si>
    <t>(注)</t>
  </si>
  <si>
    <t>2. 「国民との科学・技術対話」に係る費用（アウトリーチ活動費）については、委託業務事務処理マニュアルを参照してください。</t>
  </si>
  <si>
    <t xml:space="preserve">(注) </t>
  </si>
  <si>
    <t>2. 大学の場合はＩ．～総計まで内税額を記載してください。</t>
  </si>
  <si>
    <t>3. 「国民との科学・技術対話」に係る費用（アウトリーチ活動費）については、委託業務事務処理マニュアル（大学用）を参照してください。</t>
  </si>
  <si>
    <t>消費税の免税事業者等の場合は、その項目の内容に応じて課税される額を記載してください。</t>
    <phoneticPr fontId="9"/>
  </si>
  <si>
    <t>2. 労務費，海外旅費等のように不課税の項目の場合は消費税抜き額を、その他の課税の項目の場合は消費税込み額を計上してください。</t>
  </si>
  <si>
    <t>3. 間接経費は、中小企業等は20％、その他は10％とし、Ⅰ～Ⅲの経費総額に対して算定してください。</t>
  </si>
  <si>
    <t>No</t>
    <phoneticPr fontId="3"/>
  </si>
  <si>
    <t>対象者</t>
    <rPh sb="0" eb="2">
      <t>タイショウ</t>
    </rPh>
    <rPh sb="2" eb="3">
      <t>シャ</t>
    </rPh>
    <phoneticPr fontId="3"/>
  </si>
  <si>
    <t>記入例</t>
    <rPh sb="0" eb="2">
      <t>キニュウ</t>
    </rPh>
    <rPh sb="2" eb="3">
      <t>レイ</t>
    </rPh>
    <phoneticPr fontId="3"/>
  </si>
  <si>
    <t>記入に当たっての
注意事項</t>
    <rPh sb="0" eb="2">
      <t>キニュウ</t>
    </rPh>
    <rPh sb="3" eb="4">
      <t>ア</t>
    </rPh>
    <rPh sb="9" eb="11">
      <t>チュウイ</t>
    </rPh>
    <rPh sb="11" eb="13">
      <t>ジコウ</t>
    </rPh>
    <phoneticPr fontId="3"/>
  </si>
  <si>
    <t>共通</t>
    <rPh sb="0" eb="2">
      <t>キョウツウ</t>
    </rPh>
    <phoneticPr fontId="3"/>
  </si>
  <si>
    <t>整理番号</t>
    <rPh sb="0" eb="2">
      <t>セイリ</t>
    </rPh>
    <phoneticPr fontId="3"/>
  </si>
  <si>
    <t>（NEDOにて記入）</t>
    <rPh sb="7" eb="9">
      <t>キニュウ</t>
    </rPh>
    <phoneticPr fontId="3"/>
  </si>
  <si>
    <t>記入不要</t>
    <rPh sb="0" eb="2">
      <t>キニュウ</t>
    </rPh>
    <rPh sb="2" eb="4">
      <t>フヨウ</t>
    </rPh>
    <phoneticPr fontId="3"/>
  </si>
  <si>
    <t>～～～～～～～～～～～～～～～～～～～～～～～～～～～～～～～～～～～～～～～～～～～～～～～～～～～～～～</t>
    <phoneticPr fontId="3"/>
  </si>
  <si>
    <t>代表者</t>
    <rPh sb="0" eb="3">
      <t>ダイヒョウシャ</t>
    </rPh>
    <phoneticPr fontId="11"/>
  </si>
  <si>
    <t>△△△△株式会社</t>
    <rPh sb="4" eb="8">
      <t>カブシキガイシャ</t>
    </rPh>
    <phoneticPr fontId="3"/>
  </si>
  <si>
    <t>登記されている名称を記入してください。</t>
    <rPh sb="0" eb="2">
      <t>トウキ</t>
    </rPh>
    <rPh sb="7" eb="9">
      <t>メイショウ</t>
    </rPh>
    <rPh sb="10" eb="12">
      <t>キニュウ</t>
    </rPh>
    <phoneticPr fontId="3"/>
  </si>
  <si>
    <t>代表者役職</t>
    <rPh sb="0" eb="3">
      <t>ダイヒョウシャ</t>
    </rPh>
    <rPh sb="3" eb="5">
      <t>ヤクショク</t>
    </rPh>
    <phoneticPr fontId="11"/>
  </si>
  <si>
    <t>代表取締役社長</t>
    <rPh sb="0" eb="2">
      <t>ダイヒョウ</t>
    </rPh>
    <rPh sb="2" eb="5">
      <t>トリシマリヤク</t>
    </rPh>
    <rPh sb="5" eb="7">
      <t>シャチョウ</t>
    </rPh>
    <phoneticPr fontId="3"/>
  </si>
  <si>
    <t>代表者名</t>
    <rPh sb="0" eb="3">
      <t>ダイヒョウシャ</t>
    </rPh>
    <rPh sb="3" eb="4">
      <t>メイ</t>
    </rPh>
    <phoneticPr fontId="11"/>
  </si>
  <si>
    <t>根戸一郎</t>
    <rPh sb="0" eb="2">
      <t>ネド</t>
    </rPh>
    <rPh sb="2" eb="4">
      <t>イチロウ</t>
    </rPh>
    <phoneticPr fontId="3"/>
  </si>
  <si>
    <t>―</t>
    <phoneticPr fontId="3"/>
  </si>
  <si>
    <t>郵便番号</t>
  </si>
  <si>
    <t>123-4567</t>
    <phoneticPr fontId="3"/>
  </si>
  <si>
    <t>「〒」マークは不要、「-」を含め半角で記入してください。</t>
    <rPh sb="14" eb="15">
      <t>フク</t>
    </rPh>
    <rPh sb="19" eb="21">
      <t>キニュウ</t>
    </rPh>
    <phoneticPr fontId="3"/>
  </si>
  <si>
    <t>住所</t>
  </si>
  <si>
    <t>□□県○○市××町8丁目9番123号</t>
    <rPh sb="2" eb="3">
      <t>ケン</t>
    </rPh>
    <rPh sb="5" eb="6">
      <t>シ</t>
    </rPh>
    <rPh sb="8" eb="9">
      <t>チョウ</t>
    </rPh>
    <rPh sb="10" eb="12">
      <t>チョウメ</t>
    </rPh>
    <rPh sb="13" eb="14">
      <t>バン</t>
    </rPh>
    <rPh sb="17" eb="18">
      <t>ゴウ</t>
    </rPh>
    <phoneticPr fontId="3"/>
  </si>
  <si>
    <t>都道府県から記入してください。</t>
    <rPh sb="0" eb="4">
      <t>トドウフケン</t>
    </rPh>
    <rPh sb="6" eb="8">
      <t>キニュウ</t>
    </rPh>
    <phoneticPr fontId="3"/>
  </si>
  <si>
    <t>氏　名</t>
  </si>
  <si>
    <t>技開花子</t>
    <rPh sb="0" eb="1">
      <t>ギ</t>
    </rPh>
    <rPh sb="1" eb="2">
      <t>ヒラ</t>
    </rPh>
    <rPh sb="2" eb="4">
      <t>ハナコ</t>
    </rPh>
    <phoneticPr fontId="3"/>
  </si>
  <si>
    <t>所属</t>
    <phoneticPr fontId="11"/>
  </si>
  <si>
    <t>◇◇研究所■■■■開発室</t>
    <rPh sb="2" eb="5">
      <t>ケンキュウショ</t>
    </rPh>
    <rPh sb="9" eb="11">
      <t>カイハツ</t>
    </rPh>
    <rPh sb="11" eb="12">
      <t>シツ</t>
    </rPh>
    <phoneticPr fontId="3"/>
  </si>
  <si>
    <t>役職名</t>
  </si>
  <si>
    <t>グループリーダー</t>
    <phoneticPr fontId="3"/>
  </si>
  <si>
    <t>「-」を含め、半角で記入してください。</t>
    <rPh sb="4" eb="5">
      <t>フク</t>
    </rPh>
    <rPh sb="7" eb="9">
      <t>ハンカク</t>
    </rPh>
    <rPh sb="10" eb="12">
      <t>キニュウ</t>
    </rPh>
    <phoneticPr fontId="3"/>
  </si>
  <si>
    <t>ＴＥＬ</t>
  </si>
  <si>
    <t>Ｅ－ｍａｉｌ</t>
  </si>
  <si>
    <t>abc.def_ghi@nedo.go.jp</t>
    <phoneticPr fontId="3"/>
  </si>
  <si>
    <t>所属</t>
  </si>
  <si>
    <t>資本金</t>
    <rPh sb="0" eb="3">
      <t>シホンキン</t>
    </rPh>
    <phoneticPr fontId="3"/>
  </si>
  <si>
    <t>共同提案者①</t>
    <rPh sb="0" eb="2">
      <t>キョウドウ</t>
    </rPh>
    <rPh sb="2" eb="5">
      <t>テイアンシャ</t>
    </rPh>
    <phoneticPr fontId="3"/>
  </si>
  <si>
    <t>○○○○の研究開発</t>
    <rPh sb="5" eb="7">
      <t>ケンキュウ</t>
    </rPh>
    <phoneticPr fontId="3"/>
  </si>
  <si>
    <t>担当窓口</t>
    <rPh sb="0" eb="2">
      <t>タントウ</t>
    </rPh>
    <rPh sb="2" eb="4">
      <t>マドグチ</t>
    </rPh>
    <phoneticPr fontId="3"/>
  </si>
  <si>
    <t>任意に設定した研究開発期間に応じて、記入してください。</t>
    <rPh sb="0" eb="2">
      <t>ニンイ</t>
    </rPh>
    <rPh sb="3" eb="5">
      <t>セッテイ</t>
    </rPh>
    <rPh sb="7" eb="9">
      <t>ケンキュウ</t>
    </rPh>
    <rPh sb="9" eb="11">
      <t>カイハツ</t>
    </rPh>
    <rPh sb="11" eb="13">
      <t>キカン</t>
    </rPh>
    <rPh sb="14" eb="15">
      <t>オウ</t>
    </rPh>
    <rPh sb="18" eb="20">
      <t>キニュウ</t>
    </rPh>
    <phoneticPr fontId="3"/>
  </si>
  <si>
    <t>研究開発テーマ：</t>
    <rPh sb="0" eb="4">
      <t>ケンキュウカイハツ</t>
    </rPh>
    <phoneticPr fontId="3"/>
  </si>
  <si>
    <t>形態</t>
    <rPh sb="0" eb="2">
      <t>ケイタイ</t>
    </rPh>
    <phoneticPr fontId="9"/>
  </si>
  <si>
    <t>実施先</t>
    <rPh sb="0" eb="2">
      <t>ジッシ</t>
    </rPh>
    <rPh sb="2" eb="3">
      <t>サキ</t>
    </rPh>
    <phoneticPr fontId="9"/>
  </si>
  <si>
    <t>実施内容</t>
    <rPh sb="0" eb="2">
      <t>ジッシ</t>
    </rPh>
    <rPh sb="2" eb="4">
      <t>ナイヨウ</t>
    </rPh>
    <phoneticPr fontId="9"/>
  </si>
  <si>
    <t>再委託</t>
    <rPh sb="0" eb="3">
      <t>サイイタク</t>
    </rPh>
    <phoneticPr fontId="9"/>
  </si>
  <si>
    <t>共同実施</t>
    <rPh sb="0" eb="2">
      <t>キョウドウ</t>
    </rPh>
    <rPh sb="2" eb="4">
      <t>ジッシ</t>
    </rPh>
    <phoneticPr fontId="9"/>
  </si>
  <si>
    <t>選定理由</t>
    <rPh sb="0" eb="2">
      <t>センテイ</t>
    </rPh>
    <rPh sb="2" eb="4">
      <t>リユウ</t>
    </rPh>
    <phoneticPr fontId="9"/>
  </si>
  <si>
    <t>実施元</t>
    <rPh sb="0" eb="2">
      <t>ジッシ</t>
    </rPh>
    <rPh sb="2" eb="3">
      <t>モト</t>
    </rPh>
    <phoneticPr fontId="9"/>
  </si>
  <si>
    <t>再委託先・共同実施先がある場合には、以下の表に記載ください。
・形態は再委託、共同実施のいずれかを記載ください。
・実施元は再委託・共同実施を依頼する側、実施先は共同委託・共同実施を依頼される側の名称を記載ください。
・実施内容は再委託・共同実施する内容を記載ください。
・選定理由は再委託先・共同実施先を選定した理由を記載ください。
・行が不足した場合には追加ください。</t>
    <rPh sb="0" eb="3">
      <t>サイイタク</t>
    </rPh>
    <rPh sb="3" eb="4">
      <t>サキ</t>
    </rPh>
    <rPh sb="5" eb="7">
      <t>キョウドウ</t>
    </rPh>
    <rPh sb="7" eb="9">
      <t>ジッシ</t>
    </rPh>
    <rPh sb="9" eb="10">
      <t>サキ</t>
    </rPh>
    <rPh sb="13" eb="15">
      <t>バアイ</t>
    </rPh>
    <rPh sb="18" eb="20">
      <t>イカ</t>
    </rPh>
    <rPh sb="21" eb="22">
      <t>ヒョウ</t>
    </rPh>
    <rPh sb="23" eb="25">
      <t>キサイ</t>
    </rPh>
    <rPh sb="32" eb="34">
      <t>ケイタイ</t>
    </rPh>
    <rPh sb="35" eb="38">
      <t>サイイタク</t>
    </rPh>
    <rPh sb="39" eb="41">
      <t>キョウドウ</t>
    </rPh>
    <rPh sb="41" eb="43">
      <t>ジッシ</t>
    </rPh>
    <rPh sb="49" eb="51">
      <t>キサイ</t>
    </rPh>
    <rPh sb="58" eb="60">
      <t>ジッシ</t>
    </rPh>
    <rPh sb="60" eb="61">
      <t>モト</t>
    </rPh>
    <rPh sb="62" eb="65">
      <t>サイイタク</t>
    </rPh>
    <rPh sb="66" eb="68">
      <t>キョウドウ</t>
    </rPh>
    <rPh sb="68" eb="70">
      <t>ジッシ</t>
    </rPh>
    <rPh sb="71" eb="73">
      <t>イライ</t>
    </rPh>
    <rPh sb="75" eb="76">
      <t>ガワ</t>
    </rPh>
    <rPh sb="77" eb="79">
      <t>ジッシ</t>
    </rPh>
    <rPh sb="79" eb="80">
      <t>サキ</t>
    </rPh>
    <rPh sb="81" eb="83">
      <t>キョウドウ</t>
    </rPh>
    <rPh sb="83" eb="85">
      <t>イタク</t>
    </rPh>
    <rPh sb="86" eb="88">
      <t>キョウドウ</t>
    </rPh>
    <rPh sb="88" eb="90">
      <t>ジッシ</t>
    </rPh>
    <rPh sb="91" eb="93">
      <t>イライ</t>
    </rPh>
    <rPh sb="96" eb="97">
      <t>ガワ</t>
    </rPh>
    <rPh sb="98" eb="100">
      <t>メイショウ</t>
    </rPh>
    <rPh sb="101" eb="103">
      <t>キサイ</t>
    </rPh>
    <rPh sb="110" eb="112">
      <t>ジッシ</t>
    </rPh>
    <rPh sb="112" eb="114">
      <t>ナイヨウ</t>
    </rPh>
    <rPh sb="115" eb="118">
      <t>サイイタク</t>
    </rPh>
    <rPh sb="119" eb="121">
      <t>キョウドウ</t>
    </rPh>
    <rPh sb="121" eb="123">
      <t>ジッシ</t>
    </rPh>
    <rPh sb="125" eb="127">
      <t>ナイヨウ</t>
    </rPh>
    <rPh sb="128" eb="130">
      <t>キサイ</t>
    </rPh>
    <rPh sb="137" eb="139">
      <t>センテイ</t>
    </rPh>
    <rPh sb="139" eb="141">
      <t>リユウ</t>
    </rPh>
    <rPh sb="142" eb="145">
      <t>サイイタク</t>
    </rPh>
    <rPh sb="145" eb="146">
      <t>サキ</t>
    </rPh>
    <rPh sb="147" eb="149">
      <t>キョウドウ</t>
    </rPh>
    <rPh sb="149" eb="151">
      <t>ジッシ</t>
    </rPh>
    <rPh sb="151" eb="152">
      <t>サキ</t>
    </rPh>
    <rPh sb="153" eb="155">
      <t>センテイ</t>
    </rPh>
    <rPh sb="157" eb="159">
      <t>リユウ</t>
    </rPh>
    <rPh sb="160" eb="162">
      <t>キサイ</t>
    </rPh>
    <rPh sb="169" eb="170">
      <t>ギョウ</t>
    </rPh>
    <rPh sb="171" eb="173">
      <t>フソク</t>
    </rPh>
    <rPh sb="175" eb="177">
      <t>バアイ</t>
    </rPh>
    <rPh sb="179" eb="181">
      <t>ツイカ</t>
    </rPh>
    <phoneticPr fontId="9"/>
  </si>
  <si>
    <t>再委託先・共同実施先の選定理由</t>
    <rPh sb="0" eb="3">
      <t>サイイタク</t>
    </rPh>
    <rPh sb="3" eb="4">
      <t>サキ</t>
    </rPh>
    <rPh sb="5" eb="7">
      <t>キョウドウ</t>
    </rPh>
    <rPh sb="7" eb="9">
      <t>ジッシ</t>
    </rPh>
    <rPh sb="9" eb="10">
      <t>サキ</t>
    </rPh>
    <rPh sb="11" eb="13">
      <t>センテイ</t>
    </rPh>
    <rPh sb="13" eb="15">
      <t>リユウ</t>
    </rPh>
    <phoneticPr fontId="3"/>
  </si>
  <si>
    <t>2. 大学との共同実施費は大学の積算基準を基に「Ⅴ．再委託費・共同実施費」に計上してください 。消費税は除いた額を記入してください。</t>
    <phoneticPr fontId="3"/>
  </si>
  <si>
    <t>合計（Ⅰ＋Ⅱ＋Ⅲ）</t>
    <rPh sb="0" eb="2">
      <t>ゴウケイ</t>
    </rPh>
    <phoneticPr fontId="3"/>
  </si>
  <si>
    <t>合計（Ⅰ＋Ⅱ＋Ⅲ＋Ⅳ）</t>
    <rPh sb="0" eb="2">
      <t>ゴウケイ</t>
    </rPh>
    <phoneticPr fontId="3"/>
  </si>
  <si>
    <t>2. 総経費は、Ⅰ～Ⅳの各項目の消費税を除いた額の総額を記載してください。</t>
    <phoneticPr fontId="9"/>
  </si>
  <si>
    <t>4. 「国民との科学・技術対話」に係る費用（アウトリーチ活動費）については、委託業務事務処理マニュアルを参照してください。</t>
    <phoneticPr fontId="9"/>
  </si>
  <si>
    <t>総計（Ⅰ＋Ⅱ）</t>
    <rPh sb="0" eb="2">
      <t>ソウケイ</t>
    </rPh>
    <phoneticPr fontId="3"/>
  </si>
  <si>
    <t>総計（Ⅰ＋Ⅱ＋Ⅲ＋Ⅳ）</t>
    <rPh sb="0" eb="2">
      <t>ソウケイ</t>
    </rPh>
    <phoneticPr fontId="3"/>
  </si>
  <si>
    <t>総計（Ⅰ＋Ⅱ＋Ⅲ＋Ⅳ＋Ⅴ）</t>
    <rPh sb="0" eb="2">
      <t>ソウケイ</t>
    </rPh>
    <phoneticPr fontId="3"/>
  </si>
  <si>
    <t>テーマの概要
※採択となった場合、公表させていただくことがあります</t>
    <rPh sb="4" eb="6">
      <t>ガイヨウ</t>
    </rPh>
    <rPh sb="8" eb="10">
      <t>サイタク</t>
    </rPh>
    <rPh sb="14" eb="16">
      <t>バアイ</t>
    </rPh>
    <rPh sb="17" eb="19">
      <t>コウヒョウ</t>
    </rPh>
    <phoneticPr fontId="11"/>
  </si>
  <si>
    <t>提案書[概要]の「研究開発テーマ」をそのまま記入してください。</t>
    <rPh sb="0" eb="3">
      <t>テイアンショ</t>
    </rPh>
    <rPh sb="4" eb="6">
      <t>ガイヨウ</t>
    </rPh>
    <rPh sb="9" eb="13">
      <t>ケンキュウカイハツ</t>
    </rPh>
    <rPh sb="22" eb="24">
      <t>キニュウ</t>
    </rPh>
    <phoneticPr fontId="3"/>
  </si>
  <si>
    <t>提案書[概要]の「研究開発の概要」をそのまま記入してください。</t>
    <rPh sb="9" eb="13">
      <t>ケンキュウカイハツ</t>
    </rPh>
    <rPh sb="22" eb="24">
      <t>キニュウ</t>
    </rPh>
    <phoneticPr fontId="3"/>
  </si>
  <si>
    <t>提案者の法人等名称</t>
    <rPh sb="0" eb="3">
      <t>テイアンシャ</t>
    </rPh>
    <rPh sb="4" eb="6">
      <t>ホウジン</t>
    </rPh>
    <rPh sb="6" eb="7">
      <t>トウ</t>
    </rPh>
    <rPh sb="7" eb="9">
      <t>メイショウ</t>
    </rPh>
    <phoneticPr fontId="11"/>
  </si>
  <si>
    <t>↓↓提案者記入列はここです↓↓</t>
    <rPh sb="2" eb="5">
      <t>テイアンシャ</t>
    </rPh>
    <rPh sb="5" eb="7">
      <t>キニュウ</t>
    </rPh>
    <rPh sb="7" eb="8">
      <t>レツ</t>
    </rPh>
    <phoneticPr fontId="3"/>
  </si>
  <si>
    <t>2023年度</t>
    <rPh sb="4" eb="6">
      <t>ネンド</t>
    </rPh>
    <phoneticPr fontId="3"/>
  </si>
  <si>
    <t>（別添2）</t>
    <rPh sb="1" eb="3">
      <t>ベッテン</t>
    </rPh>
    <phoneticPr fontId="3"/>
  </si>
  <si>
    <t>経費項目に基づいて記載してください。</t>
    <phoneticPr fontId="9"/>
  </si>
  <si>
    <t>1. 消費税の課税事業者となるか免税事業者となるかについては、具体的には国税庁のウェブサイト等に記載がありますが、様々な要件にて</t>
    <phoneticPr fontId="9"/>
  </si>
  <si>
    <t>　なお、3分の2以上が中小企業で構成される技術研究組合等は、中小企業と同様の扱いとします。間接経費率は20%としてください。</t>
    <phoneticPr fontId="9"/>
  </si>
  <si>
    <t>研究開発に必要な経費の概算額を研究開発テーマごとに、委託費積算基準（https://www.nedo.go.jp/itaku-gyomu/yakkan.html 参照）に定める</t>
    <phoneticPr fontId="9"/>
  </si>
  <si>
    <t>　判定されるため、不明な場合は税理士等に御確認ください。</t>
    <phoneticPr fontId="9"/>
  </si>
  <si>
    <t>　また、国又は地方公共団体等が一般会計に係る業務として行う事業については、免税事業者と同様の取扱いとします。</t>
    <phoneticPr fontId="9"/>
  </si>
  <si>
    <t>　よって、非（不）課税取引に係る消費税相当額については、課税計上出来ません。</t>
    <phoneticPr fontId="9"/>
  </si>
  <si>
    <t>（３）再委託先／共同実施先総括表
消費税の免税事業者等</t>
    <rPh sb="17" eb="20">
      <t>ショウヒゼイ</t>
    </rPh>
    <rPh sb="21" eb="23">
      <t>メンゼイ</t>
    </rPh>
    <rPh sb="23" eb="26">
      <t>ジギョウシャ</t>
    </rPh>
    <rPh sb="26" eb="27">
      <t>トウ</t>
    </rPh>
    <phoneticPr fontId="3"/>
  </si>
  <si>
    <t>（３）再委託先／共同実施先総括表　
大学等（国公立大学法人、公立大学、私立大学、高等専門学校、大学共同利用機関法人）</t>
    <rPh sb="18" eb="20">
      <t>ダイガク</t>
    </rPh>
    <rPh sb="20" eb="21">
      <t>トウ</t>
    </rPh>
    <phoneticPr fontId="3"/>
  </si>
  <si>
    <t>大学等の場合は、大学用の積算基準に従って総括表を作成してください。</t>
    <phoneticPr fontId="9"/>
  </si>
  <si>
    <t>「業務委託費積算基準（大学等）」：（https://www.nedo.go.jp/itaku-gyomu/yakkan.html 参照）</t>
    <rPh sb="65" eb="67">
      <t>サンショウ</t>
    </rPh>
    <phoneticPr fontId="9"/>
  </si>
  <si>
    <t>1. 大学の間接経費は、Ⅰの直接経費に対して15%で算定してください。なお、委託業務に直接従事する研究員又はその研究員が所属する研究室</t>
    <phoneticPr fontId="9"/>
  </si>
  <si>
    <t>　等に対し、当該研究員が必要とする間接経費の配分を行う場合には、前記の間接経費率に15%加算することができます。</t>
    <phoneticPr fontId="9"/>
  </si>
  <si>
    <t>（３）再委託先／共同実施先総括表
国立研究開発法人等（国立研究開発法人及び独立行政法人）</t>
    <rPh sb="17" eb="25">
      <t>コクリツ</t>
    </rPh>
    <phoneticPr fontId="3"/>
  </si>
  <si>
    <t>国立研究開発法人等の場合は、国立研究開発法人等の積算基準に従って総括表を作成してください。</t>
    <phoneticPr fontId="9"/>
  </si>
  <si>
    <t>「業務委託費積算基準（国立研究開発法人等）」：（https://www.nedo.go.jp/itaku-gyomu/yakkan.html 参照）</t>
    <rPh sb="71" eb="73">
      <t>サンショウ</t>
    </rPh>
    <phoneticPr fontId="9"/>
  </si>
  <si>
    <t>1. 独立行政法人の間接経費は、Ⅰの直接経費に対して10%で算定してください。なお、委託業務に直接従事する研究員又はその研究員が所属</t>
    <phoneticPr fontId="9"/>
  </si>
  <si>
    <t>（３）再委託先／共同実施先総括表
企業等</t>
    <rPh sb="3" eb="6">
      <t>サイイタク</t>
    </rPh>
    <rPh sb="6" eb="7">
      <t>サキ</t>
    </rPh>
    <rPh sb="8" eb="10">
      <t>キョウドウ</t>
    </rPh>
    <rPh sb="10" eb="12">
      <t>ジッシ</t>
    </rPh>
    <rPh sb="12" eb="13">
      <t>サキ</t>
    </rPh>
    <rPh sb="13" eb="15">
      <t>ソウカツ</t>
    </rPh>
    <rPh sb="15" eb="16">
      <t>ヒョウ</t>
    </rPh>
    <rPh sb="17" eb="19">
      <t>キギョウ</t>
    </rPh>
    <rPh sb="19" eb="20">
      <t>トウ</t>
    </rPh>
    <phoneticPr fontId="3"/>
  </si>
  <si>
    <t>　なお、3分の2以上が中小企業で構成される技術研究組合等は、中小企業と同様の扱いとします。間接経費率は20%としてください。</t>
    <phoneticPr fontId="9"/>
  </si>
  <si>
    <t>3. 提案者が消費税の免税事業者等※の場合は、「（再委託先）消費税の免税事業者等」シートに記載してください。</t>
    <rPh sb="3" eb="5">
      <t>テイアン</t>
    </rPh>
    <phoneticPr fontId="9"/>
  </si>
  <si>
    <t>　※消費税の課税事業者となるか免税事業者となるかについては、具体的には国税庁のウェブサイト等に記載がありますが、様々な要件にて</t>
    <phoneticPr fontId="9"/>
  </si>
  <si>
    <t>　　判定されるため、不明な場合は税理士等に御確認ください。</t>
    <phoneticPr fontId="9"/>
  </si>
  <si>
    <t>　　また、国又は地方公共団体等が一般会計に係る業務として行う事業については、免税事業者と同様の取扱いとします。</t>
    <phoneticPr fontId="9"/>
  </si>
  <si>
    <t>研究開発に必要な経費の概算額を研究開発テーマごとに、業務委託費積算基準（https://www.nedo.go.jp/itaku-gyomu/yakkan.html 参照）に</t>
    <rPh sb="83" eb="85">
      <t>サンショウ</t>
    </rPh>
    <phoneticPr fontId="9"/>
  </si>
  <si>
    <t>定める経費項目に基づいて記載してください。</t>
    <phoneticPr fontId="9"/>
  </si>
  <si>
    <t>研究開発に必要な経費の概算額を研究開発テーマごとに、委託費積算基準（https://www.nedo.go.jp/itaku-gyomu/yakkan.html 参照）に定める</t>
    <rPh sb="81" eb="83">
      <t>サンショウ</t>
    </rPh>
    <phoneticPr fontId="9"/>
  </si>
  <si>
    <t>　判定されるため、不明な場合は税理士等に御確認ください。</t>
    <phoneticPr fontId="9"/>
  </si>
  <si>
    <t>　よって、非（不）課税取引に係る消費税相当額については、課税計上出来ません。</t>
    <phoneticPr fontId="9"/>
  </si>
  <si>
    <t>　契約金額とする。）の50%未満とします。</t>
    <phoneticPr fontId="9"/>
  </si>
  <si>
    <t>（２）委託先/研究分担先/分室総括表
消費税の免税事業者等</t>
    <rPh sb="3" eb="6">
      <t>イタクサキ</t>
    </rPh>
    <rPh sb="7" eb="9">
      <t>ケンキュウ</t>
    </rPh>
    <rPh sb="9" eb="11">
      <t>ブンタン</t>
    </rPh>
    <rPh sb="11" eb="12">
      <t>サキ</t>
    </rPh>
    <rPh sb="13" eb="15">
      <t>ブンシツ</t>
    </rPh>
    <rPh sb="15" eb="17">
      <t>ソウカツ</t>
    </rPh>
    <rPh sb="17" eb="18">
      <t>ヒョウ</t>
    </rPh>
    <rPh sb="19" eb="22">
      <t>ショウヒゼイ</t>
    </rPh>
    <rPh sb="23" eb="25">
      <t>メンゼイ</t>
    </rPh>
    <rPh sb="25" eb="28">
      <t>ジギョウシャ</t>
    </rPh>
    <rPh sb="28" eb="29">
      <t>トウ</t>
    </rPh>
    <phoneticPr fontId="3"/>
  </si>
  <si>
    <t>（２）委託先/研究分担先/分室総括表　　
大学等（国公立大学法人、公立大学、私立大学、高等専門学校、大学共同利用機関法人）</t>
    <rPh sb="21" eb="23">
      <t>ダイガク</t>
    </rPh>
    <rPh sb="23" eb="24">
      <t>トウ</t>
    </rPh>
    <phoneticPr fontId="3"/>
  </si>
  <si>
    <t>大学等の場合は、大学用の積算基準に従って総括表を作成してください。</t>
    <phoneticPr fontId="3"/>
  </si>
  <si>
    <t>「業務委託費積算基準（大学等）」：（https://www.nedo.go.jp/itaku-gyomu/yakkan.html 参照）</t>
    <rPh sb="65" eb="67">
      <t>サンショウ</t>
    </rPh>
    <phoneticPr fontId="3"/>
  </si>
  <si>
    <t>1. 大学の間接経費は、Ⅰの直接経費に対して15%で算定してください。なお、委託業務に直接従事する研究員又はその研究員が所属する研究室</t>
    <phoneticPr fontId="3"/>
  </si>
  <si>
    <t>　等に対し、当該研究員が必要とする間接経費の配分を行う場合には、前記の間接経費率に15%加算することができます。</t>
    <phoneticPr fontId="3"/>
  </si>
  <si>
    <t>2. 大学の場合はＩ．～総計まで内税額を記載してください。</t>
    <phoneticPr fontId="3"/>
  </si>
  <si>
    <t>（２）委託先/研究分担先/分室総括表　
国立研究開発法人等（国立研究開発法人及び独立行政法人）</t>
    <rPh sb="20" eb="28">
      <t>コクリツ</t>
    </rPh>
    <phoneticPr fontId="3"/>
  </si>
  <si>
    <t>国立研究開発法人等の場合は、国立研究開発法人等の積算基準に従って総括表を作成してください。</t>
    <phoneticPr fontId="9"/>
  </si>
  <si>
    <t>5. 再委託費・共同実施費の額は、原則として契約金額（再委託先・共同実施先が複数の場合は、再委託する当該再委託先・共同実施先との</t>
    <phoneticPr fontId="9"/>
  </si>
  <si>
    <t>4. 「国民との科学・技術対話」に係る費用（アウトリーチ活動費）については、委託業務事務処理マニュアルを参照してください。</t>
    <phoneticPr fontId="9"/>
  </si>
  <si>
    <t>4. 「国民との科学・技術対話」に係る費用（アウトリーチ活動費）については、委託業務事務処理マニュアルを参照してください。</t>
    <phoneticPr fontId="9"/>
  </si>
  <si>
    <t>3. 「国民との科学・技術対話」に係る費用（アウトリーチ活動費）については、委託業務事務処理マニュアル（大学用）を参照してください。</t>
    <phoneticPr fontId="3"/>
  </si>
  <si>
    <t>2. 「国民との科学・技術対話」に係る費用（アウトリーチ活動費）については、委託業務事務処理マニュアルを参照してください。</t>
    <phoneticPr fontId="9"/>
  </si>
  <si>
    <t>3. 特別約款により異なる委託費積算基準を適用する場合は、該当の項目に書き換えてください。</t>
    <phoneticPr fontId="9"/>
  </si>
  <si>
    <t>1. 独立行政法人の間接経費は、Ⅰの直接経費に対して10%で算定してください。なお、委託業務に直接従事する研究員又はその研究員が所属</t>
    <phoneticPr fontId="9"/>
  </si>
  <si>
    <t>　契約金額とする。）の50%未満とします。</t>
    <phoneticPr fontId="3"/>
  </si>
  <si>
    <t>　契約金額とする。）の50%未満とします。</t>
    <phoneticPr fontId="9"/>
  </si>
  <si>
    <t>（２）委託先/研究分担先/分室総括表
企業等</t>
    <rPh sb="3" eb="6">
      <t>イタクサキ</t>
    </rPh>
    <rPh sb="7" eb="9">
      <t>ケンキュウ</t>
    </rPh>
    <rPh sb="9" eb="11">
      <t>ブンタン</t>
    </rPh>
    <rPh sb="11" eb="12">
      <t>サキ</t>
    </rPh>
    <rPh sb="13" eb="15">
      <t>ブンシツ</t>
    </rPh>
    <rPh sb="15" eb="17">
      <t>ソウカツ</t>
    </rPh>
    <rPh sb="17" eb="18">
      <t>ヒョウ</t>
    </rPh>
    <rPh sb="19" eb="21">
      <t>キギョウ</t>
    </rPh>
    <rPh sb="21" eb="22">
      <t>トウ</t>
    </rPh>
    <phoneticPr fontId="3"/>
  </si>
  <si>
    <t>研究開発に必要な経費の概算額を研究開発テーマごとに、業務委託費積算基準（https://www.nedo.go.jp/itaku-gyomu/yakkan.html 参照）に</t>
    <rPh sb="83" eb="85">
      <t>サンショウ</t>
    </rPh>
    <phoneticPr fontId="3"/>
  </si>
  <si>
    <t>定める経費項目に基づいて記載してください。</t>
    <phoneticPr fontId="3"/>
  </si>
  <si>
    <t>　なお、3分の2以上が中小企業で構成される技術研究組合等は、中小企業と同様の扱いとします。間接経費率は20%としてください。</t>
    <phoneticPr fontId="3"/>
  </si>
  <si>
    <t>3. 総経費は、Ⅰ～Ⅴの各項目の消費税を除いた額の総額を記載してください。</t>
    <phoneticPr fontId="3"/>
  </si>
  <si>
    <t>5. 「国民との科学・技術対話」に係る費用（アウトリーチ活動費）については、委託業務事務処理マニュアルを参照してください。</t>
    <phoneticPr fontId="3"/>
  </si>
  <si>
    <t>　判定されるため、不明な場合は税理士等に御確認ください。</t>
    <phoneticPr fontId="3"/>
  </si>
  <si>
    <t>　※消費税の課税事業者となるか免税事業者となるかについては、具体的には国税庁のウェブサイト等に記載がありますが、様々な要件にて</t>
    <phoneticPr fontId="3"/>
  </si>
  <si>
    <t>　また、国又は地方公共団体等が一般会計に係る業務として行う事業については、免税事業者と同様の取扱いとします。</t>
    <phoneticPr fontId="3"/>
  </si>
  <si>
    <t>6. 再委託費・共同実施費の額は、原則として契約金額（再委託先・共同実施先が複数の場合は、再委託する当該再委託先・共同実施先との</t>
    <phoneticPr fontId="3"/>
  </si>
  <si>
    <t>定める経費項目に従って、記載してください。</t>
    <phoneticPr fontId="3"/>
  </si>
  <si>
    <t xml:space="preserve">1. 再委託先又は共同実施先は、委託先の契約金額の内数として、再委託先等の金額（消費税込）を()書きで記載してください。
</t>
    <phoneticPr fontId="3"/>
  </si>
  <si>
    <t>(注)</t>
    <phoneticPr fontId="3"/>
  </si>
  <si>
    <t>消費税率：</t>
    <rPh sb="0" eb="3">
      <t>ショウヒゼイ</t>
    </rPh>
    <rPh sb="3" eb="4">
      <t>リツ</t>
    </rPh>
    <phoneticPr fontId="3"/>
  </si>
  <si>
    <t>うち消費税及び地方消費税（１０％）</t>
    <rPh sb="2" eb="5">
      <t>ショウヒゼイ</t>
    </rPh>
    <rPh sb="5" eb="6">
      <t>オヨ</t>
    </rPh>
    <rPh sb="7" eb="9">
      <t>チホウ</t>
    </rPh>
    <rPh sb="9" eb="12">
      <t>ショウヒゼイ</t>
    </rPh>
    <phoneticPr fontId="3"/>
  </si>
  <si>
    <t>消費税及び地方消費税（１０％）</t>
    <rPh sb="0" eb="3">
      <t>ショウヒゼイ</t>
    </rPh>
    <rPh sb="3" eb="4">
      <t>オヨ</t>
    </rPh>
    <rPh sb="5" eb="7">
      <t>チホウ</t>
    </rPh>
    <rPh sb="7" eb="10">
      <t>ショウヒゼイ</t>
    </rPh>
    <phoneticPr fontId="3"/>
  </si>
  <si>
    <t xml:space="preserve">2. 消費税率は10%で積算してください。
</t>
    <rPh sb="3" eb="6">
      <t>ショウヒゼイ</t>
    </rPh>
    <rPh sb="6" eb="7">
      <t>リツ</t>
    </rPh>
    <rPh sb="12" eb="14">
      <t>セキサン</t>
    </rPh>
    <phoneticPr fontId="3"/>
  </si>
  <si>
    <t>7. 消費税率は10%で積算してください。</t>
    <rPh sb="3" eb="6">
      <t>ショウヒゼイ</t>
    </rPh>
    <rPh sb="6" eb="7">
      <t>リツ</t>
    </rPh>
    <rPh sb="12" eb="14">
      <t>セキサン</t>
    </rPh>
    <phoneticPr fontId="3"/>
  </si>
  <si>
    <t>5. 消費税率は10%で積算してください。</t>
    <rPh sb="3" eb="6">
      <t>ショウヒゼイ</t>
    </rPh>
    <rPh sb="6" eb="7">
      <t>リツ</t>
    </rPh>
    <rPh sb="12" eb="14">
      <t>セキサン</t>
    </rPh>
    <phoneticPr fontId="3"/>
  </si>
  <si>
    <t>4. 提案者が消費税の免税事業者等※の場合は、「(委託先)消費税の免税事業者等」シートに記載してください。</t>
    <rPh sb="3" eb="5">
      <t>テイアン</t>
    </rPh>
    <phoneticPr fontId="3"/>
  </si>
  <si>
    <t>研究開発項目②－３ 人工知能技術の適用領域を広げる研究開発／作業判断支援を行う人工知能技術</t>
  </si>
  <si>
    <t>研究開発テーマ名</t>
    <rPh sb="0" eb="2">
      <t>ケンキュウ</t>
    </rPh>
    <rPh sb="2" eb="4">
      <t>カイハツ</t>
    </rPh>
    <rPh sb="7" eb="8">
      <t>メイ</t>
    </rPh>
    <phoneticPr fontId="3"/>
  </si>
  <si>
    <t>提案者の法人番号</t>
    <rPh sb="0" eb="3">
      <t>テイアンシャ</t>
    </rPh>
    <rPh sb="4" eb="6">
      <t>ホウジン</t>
    </rPh>
    <rPh sb="6" eb="8">
      <t>バンゴウ</t>
    </rPh>
    <phoneticPr fontId="11"/>
  </si>
  <si>
    <t>xxxxxxxxxxxxx</t>
  </si>
  <si>
    <t>xxxxxxxxxxxxx</t>
    <phoneticPr fontId="3"/>
  </si>
  <si>
    <t>16  化学工業
33　電気業
など</t>
    <rPh sb="4" eb="6">
      <t>カガク</t>
    </rPh>
    <rPh sb="6" eb="8">
      <t>コウギョウ</t>
    </rPh>
    <rPh sb="12" eb="14">
      <t>デンキ</t>
    </rPh>
    <rPh sb="14" eb="15">
      <t>ギョウ</t>
    </rPh>
    <phoneticPr fontId="3"/>
  </si>
  <si>
    <t>13桁の法人番号を記入してください。</t>
    <rPh sb="2" eb="3">
      <t>ケタ</t>
    </rPh>
    <rPh sb="4" eb="6">
      <t>ホウジン</t>
    </rPh>
    <rPh sb="6" eb="8">
      <t>バンゴウ</t>
    </rPh>
    <rPh sb="9" eb="11">
      <t>キニュウ</t>
    </rPh>
    <phoneticPr fontId="3"/>
  </si>
  <si>
    <t>登記されている住所を記入してください。</t>
    <rPh sb="0" eb="2">
      <t>トウキ</t>
    </rPh>
    <rPh sb="7" eb="9">
      <t>ジュウショ</t>
    </rPh>
    <rPh sb="10" eb="12">
      <t>キニュウ</t>
    </rPh>
    <phoneticPr fontId="3"/>
  </si>
  <si>
    <t>登記されている代表者名を記入してください。</t>
    <rPh sb="0" eb="2">
      <t>トウキ</t>
    </rPh>
    <rPh sb="7" eb="10">
      <t>ダイヒョウシャ</t>
    </rPh>
    <rPh sb="10" eb="11">
      <t>メイ</t>
    </rPh>
    <rPh sb="12" eb="14">
      <t>キニュウ</t>
    </rPh>
    <phoneticPr fontId="3"/>
  </si>
  <si>
    <t>登記されている代表者の役職を記入してください。</t>
    <rPh sb="0" eb="2">
      <t>トウキ</t>
    </rPh>
    <rPh sb="7" eb="9">
      <t>ダイヒョウ</t>
    </rPh>
    <rPh sb="9" eb="10">
      <t>シャ</t>
    </rPh>
    <rPh sb="11" eb="13">
      <t>ヤクショク</t>
    </rPh>
    <rPh sb="14" eb="16">
      <t>キニュウ</t>
    </rPh>
    <phoneticPr fontId="3"/>
  </si>
  <si>
    <t>―</t>
  </si>
  <si>
    <t>123-4567</t>
  </si>
  <si>
    <t>グループリーダー</t>
  </si>
  <si>
    <t>abc.def_ghi@nedo.go.jp</t>
  </si>
  <si>
    <t>代表提案者</t>
    <rPh sb="0" eb="2">
      <t>ダイヒョウ</t>
    </rPh>
    <rPh sb="2" eb="5">
      <t>テイアンシャ</t>
    </rPh>
    <phoneticPr fontId="3"/>
  </si>
  <si>
    <t>研究開発項目②－１ 人工知能技術の適用領域を広げる研究開発／人工知能技術の導入加速化技術</t>
  </si>
  <si>
    <t>研究開発課題
研究開発項目②－１ 人工知能技術の適用領域を広げる研究開発／人工知能技術の導入加速化技術
研究開発項目②－３ 人工知能技術の適用領域を広げる研究開発／作業判断支援を行う人工知能技術</t>
    <rPh sb="0" eb="2">
      <t>ケンキュウ</t>
    </rPh>
    <rPh sb="2" eb="4">
      <t>カイハツ</t>
    </rPh>
    <rPh sb="4" eb="6">
      <t>カダイ</t>
    </rPh>
    <phoneticPr fontId="11"/>
  </si>
  <si>
    <t>提案者の位置付け</t>
    <rPh sb="0" eb="3">
      <t>テイアンシャ</t>
    </rPh>
    <rPh sb="4" eb="7">
      <t>イチヅ</t>
    </rPh>
    <phoneticPr fontId="3"/>
  </si>
  <si>
    <t>委託先</t>
    <rPh sb="0" eb="3">
      <t>イタクサキ</t>
    </rPh>
    <phoneticPr fontId="3"/>
  </si>
  <si>
    <t>再委託先</t>
    <rPh sb="0" eb="1">
      <t>サイ</t>
    </rPh>
    <rPh sb="1" eb="4">
      <t>イタクサキ</t>
    </rPh>
    <phoneticPr fontId="3"/>
  </si>
  <si>
    <t>共同実施先</t>
    <rPh sb="0" eb="2">
      <t>キョウドウ</t>
    </rPh>
    <rPh sb="2" eb="4">
      <t>ジッシ</t>
    </rPh>
    <rPh sb="4" eb="5">
      <t>サキ</t>
    </rPh>
    <phoneticPr fontId="3"/>
  </si>
  <si>
    <t>委託先</t>
    <rPh sb="0" eb="2">
      <t>イタク</t>
    </rPh>
    <rPh sb="2" eb="3">
      <t>サキ</t>
    </rPh>
    <phoneticPr fontId="3"/>
  </si>
  <si>
    <t>　する研究室等に対し、当該研究員が必要とする間接経費の配分を行う場合には、前記の間接経費率に10%加算することができます。</t>
    <phoneticPr fontId="9"/>
  </si>
  <si>
    <t>4. リサーチアシスタント（博士後期課程）の身分を持つものを研究員として登録することができます。</t>
    <phoneticPr fontId="9"/>
  </si>
  <si>
    <t>6. 消費税率は10%で積算してください。</t>
    <rPh sb="3" eb="6">
      <t>ショウヒゼイ</t>
    </rPh>
    <rPh sb="6" eb="7">
      <t>リツ</t>
    </rPh>
    <rPh sb="12" eb="14">
      <t>セキサン</t>
    </rPh>
    <phoneticPr fontId="3"/>
  </si>
  <si>
    <t>5. 再委託費・共同実施費の額は、原則として契約金額（再委託先・共同実施先が複数の場合は、再委託する当該再委託先・共同実施先との</t>
    <phoneticPr fontId="3"/>
  </si>
  <si>
    <t>4. 博士後期課程に在籍する学生を研究員として登録することができます。詳しくは、委託業務事務処理マニュアルを参照してください。</t>
    <phoneticPr fontId="3"/>
  </si>
  <si>
    <t>　詳しくは、委託業務事務処理マニュアルを参照してください。</t>
    <phoneticPr fontId="9"/>
  </si>
  <si>
    <t>　する研究室等に対し、当該研究員が必要とする間接経費の配分を行う場合には、前記の間接経費率に10%加算することができます。</t>
    <phoneticPr fontId="9"/>
  </si>
  <si>
    <t>3. リサーチアシスタント（博士後期課程）の身分を持つものを研究員として登録することができます。</t>
    <phoneticPr fontId="9"/>
  </si>
  <si>
    <t>4. 特別約款により異なる委託費積算基準を適用する場合は、該当の項目に書き換えてください。</t>
    <phoneticPr fontId="9"/>
  </si>
  <si>
    <t>主たる業種（日本標準産業分類 中分類）</t>
    <rPh sb="0" eb="1">
      <t>シュ</t>
    </rPh>
    <rPh sb="3" eb="5">
      <t>ギョウシュ</t>
    </rPh>
    <rPh sb="6" eb="8">
      <t>ニホン</t>
    </rPh>
    <rPh sb="8" eb="10">
      <t>ヒョウジュン</t>
    </rPh>
    <rPh sb="10" eb="12">
      <t>サンギョウ</t>
    </rPh>
    <rPh sb="12" eb="14">
      <t>ブンルイ</t>
    </rPh>
    <rPh sb="15" eb="16">
      <t>チュウ</t>
    </rPh>
    <rPh sb="16" eb="18">
      <t>ブンルイ</t>
    </rPh>
    <phoneticPr fontId="11"/>
  </si>
  <si>
    <t>従業員数</t>
    <rPh sb="0" eb="3">
      <t>ジュウギョウイン</t>
    </rPh>
    <phoneticPr fontId="3"/>
  </si>
  <si>
    <t>常時使用する従業員数を半角数字で記入してください。
（家族従業員、臨時の使用人、法人の役員、事業主は含まない）</t>
    <rPh sb="0" eb="2">
      <t>ジョウジ</t>
    </rPh>
    <rPh sb="2" eb="4">
      <t>シヨウ</t>
    </rPh>
    <rPh sb="6" eb="9">
      <t>ジュウギョウイン</t>
    </rPh>
    <rPh sb="9" eb="10">
      <t>スウ</t>
    </rPh>
    <rPh sb="11" eb="13">
      <t>ハンカク</t>
    </rPh>
    <rPh sb="13" eb="15">
      <t>スウジ</t>
    </rPh>
    <rPh sb="16" eb="18">
      <t>キニュウ</t>
    </rPh>
    <rPh sb="50" eb="51">
      <t>フク</t>
    </rPh>
    <phoneticPr fontId="3"/>
  </si>
  <si>
    <t>http://</t>
  </si>
  <si>
    <t>http://</t>
    <phoneticPr fontId="11"/>
  </si>
  <si>
    <r>
      <t>098-765</t>
    </r>
    <r>
      <rPr>
        <sz val="11"/>
        <color theme="1"/>
        <rFont val="ＭＳ Ｐゴシック"/>
        <family val="3"/>
        <charset val="128"/>
        <scheme val="minor"/>
      </rPr>
      <t>-</t>
    </r>
    <r>
      <rPr>
        <sz val="11"/>
        <color theme="1"/>
        <rFont val="ＭＳ Ｐゴシック"/>
        <family val="3"/>
        <charset val="128"/>
        <scheme val="minor"/>
      </rPr>
      <t>4321</t>
    </r>
    <phoneticPr fontId="3"/>
  </si>
  <si>
    <t>098-765-4321</t>
  </si>
  <si>
    <t>売上高（最新の決算）</t>
    <rPh sb="0" eb="2">
      <t>ウリアゲ</t>
    </rPh>
    <rPh sb="2" eb="3">
      <t>ダカ</t>
    </rPh>
    <rPh sb="4" eb="6">
      <t>サイシン</t>
    </rPh>
    <rPh sb="7" eb="9">
      <t>ケッサン</t>
    </rPh>
    <phoneticPr fontId="3"/>
  </si>
  <si>
    <t>会社規模</t>
    <rPh sb="0" eb="2">
      <t>カイシャ</t>
    </rPh>
    <rPh sb="2" eb="4">
      <t>キボ</t>
    </rPh>
    <phoneticPr fontId="11"/>
  </si>
  <si>
    <t>大企業</t>
    <rPh sb="0" eb="3">
      <t>ダイキギョウ</t>
    </rPh>
    <phoneticPr fontId="3"/>
  </si>
  <si>
    <t>中堅企業</t>
    <rPh sb="0" eb="2">
      <t>チュウケン</t>
    </rPh>
    <rPh sb="2" eb="4">
      <t>キギョウ</t>
    </rPh>
    <phoneticPr fontId="3"/>
  </si>
  <si>
    <t>中小企業</t>
    <rPh sb="0" eb="2">
      <t>チュウショウ</t>
    </rPh>
    <rPh sb="2" eb="4">
      <t>キギョウ</t>
    </rPh>
    <phoneticPr fontId="3"/>
  </si>
  <si>
    <t>研究開発型ベンチャー</t>
    <rPh sb="0" eb="2">
      <t>ケンキュウ</t>
    </rPh>
    <rPh sb="2" eb="4">
      <t>カイハツ</t>
    </rPh>
    <rPh sb="4" eb="5">
      <t>ガタ</t>
    </rPh>
    <phoneticPr fontId="3"/>
  </si>
  <si>
    <t>大企業</t>
    <rPh sb="0" eb="3">
      <t>ダイキギョウ</t>
    </rPh>
    <phoneticPr fontId="11"/>
  </si>
  <si>
    <t>株式会社▼▼▼</t>
    <rPh sb="0" eb="4">
      <t>カブシキガイシャ</t>
    </rPh>
    <phoneticPr fontId="11"/>
  </si>
  <si>
    <t>会計監査人名</t>
    <rPh sb="0" eb="2">
      <t>カイケイ</t>
    </rPh>
    <rPh sb="2" eb="4">
      <t>カンサ</t>
    </rPh>
    <rPh sb="4" eb="5">
      <t>ニン</t>
    </rPh>
    <rPh sb="5" eb="6">
      <t>メイ</t>
    </rPh>
    <phoneticPr fontId="11"/>
  </si>
  <si>
    <t>［研究開発項目］</t>
    <rPh sb="1" eb="3">
      <t>ケンキュウ</t>
    </rPh>
    <rPh sb="3" eb="5">
      <t>カイハツ</t>
    </rPh>
    <rPh sb="5" eb="7">
      <t>コウモク</t>
    </rPh>
    <phoneticPr fontId="9"/>
  </si>
  <si>
    <t>［提案者の位置付け］</t>
    <rPh sb="1" eb="4">
      <t>テイアンシャ</t>
    </rPh>
    <rPh sb="5" eb="8">
      <t>イチヅ</t>
    </rPh>
    <phoneticPr fontId="9"/>
  </si>
  <si>
    <t>［会社規模］</t>
    <rPh sb="1" eb="3">
      <t>カイシャ</t>
    </rPh>
    <rPh sb="3" eb="5">
      <t>キボ</t>
    </rPh>
    <phoneticPr fontId="9"/>
  </si>
  <si>
    <t>業種コード表（日本標準産業分類）</t>
    <rPh sb="0" eb="2">
      <t>ギョウシュ</t>
    </rPh>
    <rPh sb="5" eb="6">
      <t>ヒョウ</t>
    </rPh>
    <rPh sb="7" eb="9">
      <t>ニホン</t>
    </rPh>
    <rPh sb="9" eb="11">
      <t>ヒョウジュン</t>
    </rPh>
    <rPh sb="11" eb="13">
      <t>サンギョウ</t>
    </rPh>
    <rPh sb="13" eb="15">
      <t>ブンルイ</t>
    </rPh>
    <phoneticPr fontId="9"/>
  </si>
  <si>
    <t>A</t>
    <phoneticPr fontId="9"/>
  </si>
  <si>
    <t>B</t>
    <phoneticPr fontId="9"/>
  </si>
  <si>
    <t>C</t>
    <phoneticPr fontId="9"/>
  </si>
  <si>
    <t>D</t>
    <phoneticPr fontId="9"/>
  </si>
  <si>
    <t>E</t>
    <phoneticPr fontId="9"/>
  </si>
  <si>
    <t>F</t>
    <phoneticPr fontId="9"/>
  </si>
  <si>
    <t>G</t>
    <phoneticPr fontId="9"/>
  </si>
  <si>
    <t>H</t>
    <phoneticPr fontId="9"/>
  </si>
  <si>
    <t>I</t>
    <phoneticPr fontId="9"/>
  </si>
  <si>
    <t>J</t>
    <phoneticPr fontId="9"/>
  </si>
  <si>
    <t>K</t>
    <phoneticPr fontId="9"/>
  </si>
  <si>
    <t>L</t>
    <phoneticPr fontId="9"/>
  </si>
  <si>
    <t>M</t>
    <phoneticPr fontId="9"/>
  </si>
  <si>
    <t>N</t>
    <phoneticPr fontId="9"/>
  </si>
  <si>
    <t>O</t>
    <phoneticPr fontId="9"/>
  </si>
  <si>
    <t>P</t>
    <phoneticPr fontId="9"/>
  </si>
  <si>
    <t>Q</t>
    <phoneticPr fontId="9"/>
  </si>
  <si>
    <t>R</t>
    <phoneticPr fontId="9"/>
  </si>
  <si>
    <t>S</t>
    <phoneticPr fontId="9"/>
  </si>
  <si>
    <t>T</t>
    <phoneticPr fontId="9"/>
  </si>
  <si>
    <t>鉱業，採石業，砂利採取業</t>
    <phoneticPr fontId="9"/>
  </si>
  <si>
    <t>製造業</t>
  </si>
  <si>
    <t>電気・ガス・熱供給・水道業</t>
    <phoneticPr fontId="9"/>
  </si>
  <si>
    <t>情報通信業</t>
  </si>
  <si>
    <t>運輸業，郵便業</t>
  </si>
  <si>
    <t>卸売業・小売業</t>
  </si>
  <si>
    <t>金融業・保険業</t>
  </si>
  <si>
    <t>不動産業，物品賃貸業</t>
    <phoneticPr fontId="9"/>
  </si>
  <si>
    <t>学術研究，専門・技術サービス業</t>
    <phoneticPr fontId="9"/>
  </si>
  <si>
    <t>宿泊業，飲食サービス業</t>
    <phoneticPr fontId="9"/>
  </si>
  <si>
    <t>生活関連サービス業，娯楽業</t>
    <phoneticPr fontId="9"/>
  </si>
  <si>
    <t>教育，学習支援業</t>
  </si>
  <si>
    <t>医療，福祉</t>
  </si>
  <si>
    <t>複合サービス事業</t>
  </si>
  <si>
    <t>サービス業（他に分類されないもの）</t>
    <phoneticPr fontId="9"/>
  </si>
  <si>
    <t>公務（他に分類されるものを除く）</t>
    <phoneticPr fontId="9"/>
  </si>
  <si>
    <t>分類不能の産業</t>
    <phoneticPr fontId="9"/>
  </si>
  <si>
    <t>大分類</t>
    <rPh sb="0" eb="3">
      <t>ダイブンルイ</t>
    </rPh>
    <phoneticPr fontId="9"/>
  </si>
  <si>
    <t>中分類</t>
    <rPh sb="0" eb="1">
      <t>チュウ</t>
    </rPh>
    <rPh sb="1" eb="3">
      <t>ブンルイ</t>
    </rPh>
    <phoneticPr fontId="9"/>
  </si>
  <si>
    <t>コード</t>
    <phoneticPr fontId="9"/>
  </si>
  <si>
    <t>農業，林業</t>
    <phoneticPr fontId="9"/>
  </si>
  <si>
    <t>漁業</t>
    <phoneticPr fontId="9"/>
  </si>
  <si>
    <t>建設業</t>
    <phoneticPr fontId="9"/>
  </si>
  <si>
    <t>日本標準産業分類の中分類を選択してください。</t>
    <rPh sb="10" eb="12">
      <t>ブンルイ</t>
    </rPh>
    <rPh sb="13" eb="15">
      <t>センタク</t>
    </rPh>
    <phoneticPr fontId="3"/>
  </si>
  <si>
    <t>表示用中分類</t>
    <rPh sb="0" eb="2">
      <t>ヒョウジ</t>
    </rPh>
    <rPh sb="2" eb="3">
      <t>ヨウ</t>
    </rPh>
    <rPh sb="3" eb="6">
      <t>チュウブンルイ</t>
    </rPh>
    <phoneticPr fontId="9"/>
  </si>
  <si>
    <t>HP</t>
    <phoneticPr fontId="11"/>
  </si>
  <si>
    <t>☆すべての提案者（再委託先・共同実施先も含む）について記入してください。</t>
    <rPh sb="20" eb="21">
      <t>フク</t>
    </rPh>
    <rPh sb="27" eb="29">
      <t>キニュウ</t>
    </rPh>
    <phoneticPr fontId="3"/>
  </si>
  <si>
    <t>女性活躍推進法に基づく認定
（えるぼし認定）</t>
    <rPh sb="0" eb="2">
      <t>ジョセイ</t>
    </rPh>
    <rPh sb="2" eb="4">
      <t>カツヤク</t>
    </rPh>
    <rPh sb="4" eb="6">
      <t>スイシン</t>
    </rPh>
    <rPh sb="6" eb="7">
      <t>ホウ</t>
    </rPh>
    <rPh sb="8" eb="9">
      <t>モト</t>
    </rPh>
    <rPh sb="11" eb="13">
      <t>ニンテイ</t>
    </rPh>
    <phoneticPr fontId="3"/>
  </si>
  <si>
    <t>１段階目</t>
    <phoneticPr fontId="3"/>
  </si>
  <si>
    <t>２段階目</t>
    <phoneticPr fontId="11"/>
  </si>
  <si>
    <t>３段階目</t>
    <phoneticPr fontId="3"/>
  </si>
  <si>
    <t>行動計画</t>
    <phoneticPr fontId="3"/>
  </si>
  <si>
    <t>くるみん（旧基準）</t>
    <phoneticPr fontId="3"/>
  </si>
  <si>
    <t>くるみん（新基準）</t>
    <phoneticPr fontId="11"/>
  </si>
  <si>
    <t>プラチナくるみん</t>
    <phoneticPr fontId="3"/>
  </si>
  <si>
    <t>若者雇用促進法に基づく認定（ユースエール認定）</t>
    <phoneticPr fontId="11"/>
  </si>
  <si>
    <t>若手研究者（40歳以下）数</t>
    <rPh sb="0" eb="2">
      <t>ワカテ</t>
    </rPh>
    <rPh sb="2" eb="5">
      <t>ケンキュウシャ</t>
    </rPh>
    <rPh sb="8" eb="9">
      <t>サイ</t>
    </rPh>
    <rPh sb="9" eb="11">
      <t>イカ</t>
    </rPh>
    <rPh sb="12" eb="13">
      <t>スウ</t>
    </rPh>
    <phoneticPr fontId="11"/>
  </si>
  <si>
    <t>女性研究者数</t>
    <rPh sb="0" eb="2">
      <t>ジョセイ</t>
    </rPh>
    <rPh sb="2" eb="5">
      <t>ケンキュウシャ</t>
    </rPh>
    <rPh sb="5" eb="6">
      <t>スウ</t>
    </rPh>
    <phoneticPr fontId="11"/>
  </si>
  <si>
    <t>半角数字のみを記入してください。（円や千円、￥記号などを加えない）</t>
    <rPh sb="0" eb="2">
      <t>ハンカク</t>
    </rPh>
    <rPh sb="2" eb="4">
      <t>スウジ</t>
    </rPh>
    <rPh sb="7" eb="9">
      <t>キニュウ</t>
    </rPh>
    <rPh sb="17" eb="18">
      <t>エン</t>
    </rPh>
    <rPh sb="19" eb="21">
      <t>センエン</t>
    </rPh>
    <rPh sb="23" eb="25">
      <t>キゴウ</t>
    </rPh>
    <rPh sb="28" eb="29">
      <t>クワ</t>
    </rPh>
    <phoneticPr fontId="3"/>
  </si>
  <si>
    <t>半角数字のみを記入してください。（円や千円、￥記号などを加えない）
（企業のみ）</t>
    <rPh sb="0" eb="2">
      <t>ハンカク</t>
    </rPh>
    <rPh sb="2" eb="4">
      <t>スウジ</t>
    </rPh>
    <rPh sb="7" eb="9">
      <t>キニュウ</t>
    </rPh>
    <rPh sb="17" eb="18">
      <t>エン</t>
    </rPh>
    <rPh sb="19" eb="21">
      <t>センエン</t>
    </rPh>
    <rPh sb="23" eb="25">
      <t>キゴウ</t>
    </rPh>
    <rPh sb="28" eb="29">
      <t>クワ</t>
    </rPh>
    <rPh sb="35" eb="37">
      <t>キギョウ</t>
    </rPh>
    <phoneticPr fontId="3"/>
  </si>
  <si>
    <t>共同提案者②</t>
    <rPh sb="0" eb="2">
      <t>キョウドウ</t>
    </rPh>
    <rPh sb="2" eb="5">
      <t>テイアンシャ</t>
    </rPh>
    <phoneticPr fontId="3"/>
  </si>
  <si>
    <t>共同提案者③</t>
    <rPh sb="0" eb="2">
      <t>キョウドウ</t>
    </rPh>
    <rPh sb="2" eb="5">
      <t>テイアンシャ</t>
    </rPh>
    <phoneticPr fontId="3"/>
  </si>
  <si>
    <t>共同提案者④</t>
    <rPh sb="0" eb="2">
      <t>キョウドウ</t>
    </rPh>
    <rPh sb="2" eb="5">
      <t>テイアンシャ</t>
    </rPh>
    <phoneticPr fontId="3"/>
  </si>
  <si>
    <t>共同提案者⑤</t>
    <rPh sb="0" eb="2">
      <t>キョウドウ</t>
    </rPh>
    <rPh sb="2" eb="5">
      <t>テイアンシャ</t>
    </rPh>
    <phoneticPr fontId="3"/>
  </si>
  <si>
    <t>共同提案者⑥</t>
    <rPh sb="0" eb="2">
      <t>キョウドウ</t>
    </rPh>
    <rPh sb="2" eb="5">
      <t>テイアンシャ</t>
    </rPh>
    <phoneticPr fontId="3"/>
  </si>
  <si>
    <t>共同提案者⑦</t>
    <rPh sb="0" eb="2">
      <t>キョウドウ</t>
    </rPh>
    <rPh sb="2" eb="5">
      <t>テイアンシャ</t>
    </rPh>
    <phoneticPr fontId="3"/>
  </si>
  <si>
    <t>共同提案者⑧</t>
    <rPh sb="0" eb="2">
      <t>キョウドウ</t>
    </rPh>
    <rPh sb="2" eb="5">
      <t>テイアンシャ</t>
    </rPh>
    <phoneticPr fontId="3"/>
  </si>
  <si>
    <t>共同提案者⑨</t>
    <rPh sb="0" eb="2">
      <t>キョウドウ</t>
    </rPh>
    <rPh sb="2" eb="5">
      <t>テイアンシャ</t>
    </rPh>
    <phoneticPr fontId="3"/>
  </si>
  <si>
    <t>共同提案者⑩</t>
    <rPh sb="0" eb="2">
      <t>キョウドウ</t>
    </rPh>
    <rPh sb="2" eb="5">
      <t>テイアンシャ</t>
    </rPh>
    <phoneticPr fontId="3"/>
  </si>
  <si>
    <t>再委託先・
共同実施先①</t>
    <rPh sb="0" eb="1">
      <t>サイ</t>
    </rPh>
    <rPh sb="1" eb="4">
      <t>イタクサキ</t>
    </rPh>
    <rPh sb="6" eb="8">
      <t>キョウドウ</t>
    </rPh>
    <rPh sb="8" eb="10">
      <t>ジッシ</t>
    </rPh>
    <rPh sb="10" eb="11">
      <t>サキ</t>
    </rPh>
    <phoneticPr fontId="3"/>
  </si>
  <si>
    <t>再委託先・
共同実施先②</t>
    <rPh sb="0" eb="1">
      <t>サイ</t>
    </rPh>
    <rPh sb="1" eb="4">
      <t>イタクサキ</t>
    </rPh>
    <rPh sb="6" eb="8">
      <t>キョウドウ</t>
    </rPh>
    <rPh sb="8" eb="10">
      <t>ジッシ</t>
    </rPh>
    <rPh sb="10" eb="11">
      <t>サキ</t>
    </rPh>
    <phoneticPr fontId="3"/>
  </si>
  <si>
    <t>再委託先</t>
    <rPh sb="0" eb="1">
      <t>サイ</t>
    </rPh>
    <rPh sb="1" eb="3">
      <t>イタク</t>
    </rPh>
    <rPh sb="3" eb="4">
      <t>サキ</t>
    </rPh>
    <phoneticPr fontId="3"/>
  </si>
  <si>
    <t>再委託先・
共同実施先③</t>
    <rPh sb="0" eb="1">
      <t>サイ</t>
    </rPh>
    <rPh sb="1" eb="4">
      <t>イタクサキ</t>
    </rPh>
    <rPh sb="6" eb="8">
      <t>キョウドウ</t>
    </rPh>
    <rPh sb="8" eb="10">
      <t>ジッシ</t>
    </rPh>
    <rPh sb="10" eb="11">
      <t>サキ</t>
    </rPh>
    <phoneticPr fontId="3"/>
  </si>
  <si>
    <t>再委託先・
共同実施先④</t>
    <rPh sb="0" eb="1">
      <t>サイ</t>
    </rPh>
    <rPh sb="1" eb="4">
      <t>イタクサキ</t>
    </rPh>
    <rPh sb="6" eb="8">
      <t>キョウドウ</t>
    </rPh>
    <rPh sb="8" eb="10">
      <t>ジッシ</t>
    </rPh>
    <rPh sb="10" eb="11">
      <t>サキ</t>
    </rPh>
    <phoneticPr fontId="3"/>
  </si>
  <si>
    <t>再委託先・
共同実施先⑤</t>
    <rPh sb="0" eb="1">
      <t>サイ</t>
    </rPh>
    <rPh sb="1" eb="4">
      <t>イタクサキ</t>
    </rPh>
    <rPh sb="6" eb="8">
      <t>キョウドウ</t>
    </rPh>
    <rPh sb="8" eb="10">
      <t>ジッシ</t>
    </rPh>
    <rPh sb="10" eb="11">
      <t>サキ</t>
    </rPh>
    <phoneticPr fontId="3"/>
  </si>
  <si>
    <t>再委託先・
共同実施先⑥</t>
    <rPh sb="0" eb="1">
      <t>サイ</t>
    </rPh>
    <rPh sb="1" eb="4">
      <t>イタクサキ</t>
    </rPh>
    <rPh sb="6" eb="8">
      <t>キョウドウ</t>
    </rPh>
    <rPh sb="8" eb="10">
      <t>ジッシ</t>
    </rPh>
    <rPh sb="10" eb="11">
      <t>サキ</t>
    </rPh>
    <phoneticPr fontId="3"/>
  </si>
  <si>
    <t>再委託先・
共同実施先⑦</t>
    <rPh sb="0" eb="1">
      <t>サイ</t>
    </rPh>
    <rPh sb="1" eb="4">
      <t>イタクサキ</t>
    </rPh>
    <rPh sb="6" eb="8">
      <t>キョウドウ</t>
    </rPh>
    <rPh sb="8" eb="10">
      <t>ジッシ</t>
    </rPh>
    <rPh sb="10" eb="11">
      <t>サキ</t>
    </rPh>
    <phoneticPr fontId="3"/>
  </si>
  <si>
    <t>再委託先・
共同実施先⑧</t>
    <rPh sb="0" eb="1">
      <t>サイ</t>
    </rPh>
    <rPh sb="1" eb="4">
      <t>イタクサキ</t>
    </rPh>
    <rPh sb="6" eb="8">
      <t>キョウドウ</t>
    </rPh>
    <rPh sb="8" eb="10">
      <t>ジッシ</t>
    </rPh>
    <rPh sb="10" eb="11">
      <t>サキ</t>
    </rPh>
    <phoneticPr fontId="3"/>
  </si>
  <si>
    <t>再委託先・
共同実施先⑨</t>
    <rPh sb="0" eb="1">
      <t>サイ</t>
    </rPh>
    <rPh sb="1" eb="4">
      <t>イタクサキ</t>
    </rPh>
    <rPh sb="6" eb="8">
      <t>キョウドウ</t>
    </rPh>
    <rPh sb="8" eb="10">
      <t>ジッシ</t>
    </rPh>
    <rPh sb="10" eb="11">
      <t>サキ</t>
    </rPh>
    <phoneticPr fontId="3"/>
  </si>
  <si>
    <t>再委託先・
共同実施先⑩</t>
    <rPh sb="0" eb="1">
      <t>サイ</t>
    </rPh>
    <rPh sb="1" eb="4">
      <t>イタクサキ</t>
    </rPh>
    <rPh sb="6" eb="8">
      <t>キョウドウ</t>
    </rPh>
    <rPh sb="8" eb="10">
      <t>ジッシ</t>
    </rPh>
    <rPh sb="10" eb="11">
      <t>サキ</t>
    </rPh>
    <phoneticPr fontId="3"/>
  </si>
  <si>
    <t>合計（１．＋２．＋３．）</t>
    <rPh sb="0" eb="2">
      <t>ゴウケイ</t>
    </rPh>
    <phoneticPr fontId="3"/>
  </si>
  <si>
    <t>製造業、建設業、運輸業及びその他の業種（下記以外）</t>
  </si>
  <si>
    <t>3億円以下</t>
  </si>
  <si>
    <t>300人以下</t>
  </si>
  <si>
    <t>小売業</t>
  </si>
  <si>
    <t>5千万円以下</t>
  </si>
  <si>
    <t>50人以下</t>
  </si>
  <si>
    <t>サービス業</t>
  </si>
  <si>
    <t>100人以下</t>
  </si>
  <si>
    <t>卸売業</t>
  </si>
  <si>
    <t>1億円以下</t>
  </si>
  <si>
    <t>【大企業・中堅企業・中小企業・研究開発型ベンチャーの定義】</t>
    <rPh sb="1" eb="4">
      <t>ダイキギョウ</t>
    </rPh>
    <rPh sb="7" eb="9">
      <t>キギョウ</t>
    </rPh>
    <rPh sb="12" eb="14">
      <t>キギョウ</t>
    </rPh>
    <rPh sb="15" eb="17">
      <t>ケンキュウ</t>
    </rPh>
    <rPh sb="17" eb="19">
      <t>カイハツ</t>
    </rPh>
    <rPh sb="19" eb="20">
      <t>ガタ</t>
    </rPh>
    <phoneticPr fontId="9"/>
  </si>
  <si>
    <t>＊中堅・中小・ベンチャー企業とは、以下の（ア）（イ）（ウ）又は（エ）のいずれかに該当する企業等であって、かつ、大企業の出資比率が一定比率を超えないもの（注１）をいいます。</t>
    <phoneticPr fontId="9"/>
  </si>
  <si>
    <t>（ア）「中小企業」としての企業</t>
    <phoneticPr fontId="9"/>
  </si>
  <si>
    <t>中小企業基本法第２条（中小企業者の範囲及び用語の定義）を準用し、次表に示す「資本金基準」又は「従業員基準」のいずれかの基準を満たす企業です。</t>
    <phoneticPr fontId="9"/>
  </si>
  <si>
    <t>（イ）「中小企業者」としての組合等</t>
    <phoneticPr fontId="9"/>
  </si>
  <si>
    <t>以下のいずれかに該当する組合等をいいます。</t>
    <phoneticPr fontId="9"/>
  </si>
  <si>
    <t>１．技術研究組合であって、その直接又は間接の構成員の３分の２以上が（ア）の表の「中小企業者」としての企業又は企業組合若しくは協業組合であるもの</t>
    <phoneticPr fontId="9"/>
  </si>
  <si>
    <t>２．１．のほか、産業技術力強化法施行令第６条三号ハに規定する事業協同組合等</t>
    <phoneticPr fontId="9"/>
  </si>
  <si>
    <t>（ウ）「中堅企業」としての企業</t>
    <phoneticPr fontId="9"/>
  </si>
  <si>
    <t>常時使用する従業員の数（注２）が１，０００人未満又は売上高が１，０００億円未満のいずれかの条件を満たす企業であって、中小企業を除いたものをいいます。</t>
    <phoneticPr fontId="9"/>
  </si>
  <si>
    <t>（エ）研究開発型ベンチャー</t>
    <phoneticPr fontId="9"/>
  </si>
  <si>
    <t>以下の条件をすべて満たす企業をいいます。</t>
    <phoneticPr fontId="9"/>
  </si>
  <si>
    <t>・試験研究費等が売上高の３％以上又は研究者が２人以上かつ全従業員数の１０％以上であること。</t>
    <phoneticPr fontId="9"/>
  </si>
  <si>
    <t>・未利用技術等、研究開発成果が事業化されていない技術を利用した実用化開発を行うこと。</t>
    <phoneticPr fontId="9"/>
  </si>
  <si>
    <t>・申請時に上記要件を満たす根拠を提示すること。</t>
    <phoneticPr fontId="9"/>
  </si>
  <si>
    <t>（注１）次の企業は、大企業の出資比率が一定比率を超えているものとします。</t>
    <phoneticPr fontId="9"/>
  </si>
  <si>
    <t>・発行済株式の総数又は出資の総額の２分の１以上が同一の大企業（注３）の所有に属している企業</t>
    <phoneticPr fontId="9"/>
  </si>
  <si>
    <t>・発行済株式の総数又は出資の総額の３分の２以上が、複数の大企業（注３）の所有に属している企業</t>
    <phoneticPr fontId="9"/>
  </si>
  <si>
    <t>（注２）常時使用する従業員には、家族従業員、臨時の使用人、法人の役員、事業主は含みません。又、他社への出向者は従業員に含みます。</t>
    <phoneticPr fontId="9"/>
  </si>
  <si>
    <t>（注３）大企業とは、（ア）から（エ）のいずれにも属さない企業であって事業を営むものをいいます。ただし、以下に該当する者については、大企業として取扱わないものとします。</t>
    <phoneticPr fontId="9"/>
  </si>
  <si>
    <t>・中小企業投資育成株式会社法に規定する中小企業投資育成株式会社</t>
    <phoneticPr fontId="9"/>
  </si>
  <si>
    <t>・廃止前の中小企業の創造的事業活動の促進に関する臨時措置法に規定する指定支援機関（ベンチャー財団）と基本約定書を締結した者（特定ベンチャーキャピタル）</t>
    <phoneticPr fontId="9"/>
  </si>
  <si>
    <t>・投資事業有限責任組合契約に関する法律に規定する投資事業有限責任組合</t>
    <phoneticPr fontId="9"/>
  </si>
  <si>
    <t>［大企業／中堅企業／中小企業／研究開発型ベンチャー］
のいずれに該当するか選択してください。（企業のみ）
※「会社規模の定義」シート参照</t>
    <rPh sb="1" eb="4">
      <t>ダイキギョウ</t>
    </rPh>
    <rPh sb="5" eb="7">
      <t>チュウケン</t>
    </rPh>
    <rPh sb="7" eb="9">
      <t>キギョウ</t>
    </rPh>
    <rPh sb="10" eb="12">
      <t>チュウショウ</t>
    </rPh>
    <rPh sb="12" eb="14">
      <t>キギョウ</t>
    </rPh>
    <rPh sb="15" eb="17">
      <t>ケンキュウ</t>
    </rPh>
    <rPh sb="17" eb="19">
      <t>カイハツ</t>
    </rPh>
    <rPh sb="19" eb="20">
      <t>ガタ</t>
    </rPh>
    <rPh sb="32" eb="34">
      <t>ガイトウ</t>
    </rPh>
    <rPh sb="37" eb="39">
      <t>センタク</t>
    </rPh>
    <rPh sb="47" eb="49">
      <t>キギョウ</t>
    </rPh>
    <rPh sb="55" eb="57">
      <t>カイシャ</t>
    </rPh>
    <rPh sb="57" eb="59">
      <t>キボ</t>
    </rPh>
    <rPh sb="60" eb="62">
      <t>テイギ</t>
    </rPh>
    <rPh sb="66" eb="68">
      <t>サンショウ</t>
    </rPh>
    <phoneticPr fontId="3"/>
  </si>
  <si>
    <t>　株式会社の会計監査を行う公認会計士または監査法人です。
　会社法３３７条により大会社や指名委員会等設置会社などに設置が義務付けられている株式会社の機関の一つです。監査役と異なり、独立的な立場から財務諸表等の監査を行います。なお、大会社・委員会設置会社以外の株式会社も会計監査人を設置することができます。</t>
    <rPh sb="107" eb="108">
      <t>オコナ</t>
    </rPh>
    <phoneticPr fontId="9"/>
  </si>
  <si>
    <t>【会計監査人の定義】</t>
    <rPh sb="1" eb="3">
      <t>カイケイ</t>
    </rPh>
    <rPh sb="3" eb="5">
      <t>カンサ</t>
    </rPh>
    <rPh sb="5" eb="6">
      <t>ジン</t>
    </rPh>
    <rPh sb="7" eb="9">
      <t>テイギ</t>
    </rPh>
    <phoneticPr fontId="9"/>
  </si>
  <si>
    <t>※1　業種分類は、「日本標準産業分類」の規定に基づきます。</t>
    <phoneticPr fontId="9"/>
  </si>
  <si>
    <t>※2　「資本金の額又は出資の総額」をいいます。</t>
    <phoneticPr fontId="9"/>
  </si>
  <si>
    <t>※3　「常時使用する従業員の数」をいい、家族従業員、臨時の使用人、法人の役員、事業主は含みません。又、他社への出向者は従業員に含みます。</t>
    <phoneticPr fontId="9"/>
  </si>
  <si>
    <t>【ワーク・ライフ・バランス等推進企業に関する認定等の状況について】</t>
    <rPh sb="13" eb="14">
      <t>トウ</t>
    </rPh>
    <rPh sb="14" eb="16">
      <t>スイシン</t>
    </rPh>
    <rPh sb="16" eb="18">
      <t>キギョウ</t>
    </rPh>
    <rPh sb="19" eb="20">
      <t>カン</t>
    </rPh>
    <rPh sb="22" eb="24">
      <t>ニンテイ</t>
    </rPh>
    <rPh sb="24" eb="25">
      <t>トウ</t>
    </rPh>
    <rPh sb="26" eb="28">
      <t>ジョウキョウ</t>
    </rPh>
    <phoneticPr fontId="9"/>
  </si>
  <si>
    <t>※提出時点を基準としてください。</t>
    <phoneticPr fontId="9"/>
  </si>
  <si>
    <t>※証拠書類等の提出をお願いする可能性があります。</t>
    <phoneticPr fontId="9"/>
  </si>
  <si>
    <t>【加点対象認定】</t>
    <phoneticPr fontId="9"/>
  </si>
  <si>
    <t>（参考：女性活躍推進法特集ページ）
　https://www.mhlw.go.jp/stf/seisakunitsuite/bunya/0000091025.html</t>
    <phoneticPr fontId="9"/>
  </si>
  <si>
    <t>認定等の区分</t>
    <phoneticPr fontId="9"/>
  </si>
  <si>
    <t>女性活躍推進法に基づく認定
（えるぼし認定）</t>
    <phoneticPr fontId="9"/>
  </si>
  <si>
    <t>次世代育成支援対策推進法に基づく認定
（くるみん認定・プラチナくるみん認定）</t>
    <phoneticPr fontId="9"/>
  </si>
  <si>
    <r>
      <t xml:space="preserve">主たる事業として営んでいる業種 </t>
    </r>
    <r>
      <rPr>
        <b/>
        <sz val="9"/>
        <color rgb="FF0000FF"/>
        <rFont val="ＭＳ 明朝"/>
        <family val="1"/>
        <charset val="128"/>
      </rPr>
      <t>※1</t>
    </r>
    <phoneticPr fontId="9"/>
  </si>
  <si>
    <r>
      <t xml:space="preserve">資本金基準 </t>
    </r>
    <r>
      <rPr>
        <b/>
        <sz val="9"/>
        <color rgb="FF0000FF"/>
        <rFont val="ＭＳ 明朝"/>
        <family val="1"/>
        <charset val="128"/>
      </rPr>
      <t>※2</t>
    </r>
    <phoneticPr fontId="9"/>
  </si>
  <si>
    <r>
      <t xml:space="preserve">従業員基準 </t>
    </r>
    <r>
      <rPr>
        <b/>
        <sz val="9"/>
        <color rgb="FF0000FF"/>
        <rFont val="ＭＳ 明朝"/>
        <family val="1"/>
        <charset val="128"/>
      </rPr>
      <t>※3</t>
    </r>
    <phoneticPr fontId="9"/>
  </si>
  <si>
    <t>若者雇用促進法に基づく認定
（ユースエール認定）</t>
    <phoneticPr fontId="9"/>
  </si>
  <si>
    <r>
      <t xml:space="preserve">１段階目 </t>
    </r>
    <r>
      <rPr>
        <b/>
        <sz val="9"/>
        <color rgb="FF0000FF"/>
        <rFont val="ＭＳ 明朝"/>
        <family val="1"/>
        <charset val="128"/>
      </rPr>
      <t>※1</t>
    </r>
    <phoneticPr fontId="9"/>
  </si>
  <si>
    <t>３段階目</t>
    <phoneticPr fontId="9"/>
  </si>
  <si>
    <t>プラチナくるみん</t>
    <phoneticPr fontId="9"/>
  </si>
  <si>
    <r>
      <t xml:space="preserve">２段階目 </t>
    </r>
    <r>
      <rPr>
        <b/>
        <sz val="9"/>
        <color rgb="FF0000FF"/>
        <rFont val="ＭＳ 明朝"/>
        <family val="1"/>
        <charset val="128"/>
      </rPr>
      <t>※1</t>
    </r>
    <phoneticPr fontId="9"/>
  </si>
  <si>
    <r>
      <t xml:space="preserve">行動計画 </t>
    </r>
    <r>
      <rPr>
        <b/>
        <sz val="9"/>
        <color rgb="FF0000FF"/>
        <rFont val="ＭＳ 明朝"/>
        <family val="1"/>
        <charset val="128"/>
      </rPr>
      <t>※2</t>
    </r>
    <phoneticPr fontId="9"/>
  </si>
  <si>
    <r>
      <t xml:space="preserve">くるみん（旧基準） </t>
    </r>
    <r>
      <rPr>
        <b/>
        <sz val="9"/>
        <color rgb="FF0000FF"/>
        <rFont val="ＭＳ 明朝"/>
        <family val="1"/>
        <charset val="128"/>
      </rPr>
      <t>※3</t>
    </r>
    <phoneticPr fontId="9"/>
  </si>
  <si>
    <r>
      <t xml:space="preserve">くるみん（新基準） </t>
    </r>
    <r>
      <rPr>
        <b/>
        <sz val="9"/>
        <color rgb="FF0000FF"/>
        <rFont val="ＭＳ 明朝"/>
        <family val="1"/>
        <charset val="128"/>
      </rPr>
      <t>※4</t>
    </r>
    <phoneticPr fontId="9"/>
  </si>
  <si>
    <t>※1　「労働時間等の働き方」に係る基準は満たすことが必要。</t>
    <phoneticPr fontId="9"/>
  </si>
  <si>
    <t>※2　行動計画の策定義務がない事業主（常時雇用する労働者の数が300人以下のもの）に限る（計画期間が満了していない行動計画を策定している場合のみ）。</t>
    <phoneticPr fontId="9"/>
  </si>
  <si>
    <t>※3　旧くるみん認定マーク（改正前認定基準又は改正省令附則第２条第３項の経過措置により認定）。</t>
    <phoneticPr fontId="9"/>
  </si>
  <si>
    <t>※4　新くるみん認定マーク（改正後認定基準（平成29年４月１日施行）により認定）。</t>
    <phoneticPr fontId="9"/>
  </si>
  <si>
    <t>対象：提案書の実施体制に記載される全委託先（再委託先・共同実施先は除く）</t>
    <rPh sb="17" eb="18">
      <t>ゼン</t>
    </rPh>
    <rPh sb="25" eb="26">
      <t>サキ</t>
    </rPh>
    <rPh sb="27" eb="29">
      <t>キョウドウ</t>
    </rPh>
    <rPh sb="29" eb="31">
      <t>ジッシ</t>
    </rPh>
    <rPh sb="31" eb="32">
      <t>サキ</t>
    </rPh>
    <phoneticPr fontId="9"/>
  </si>
  <si>
    <t>次世代育成支援対策推進法に基づく認定
（くるみん認定・プラチナくるみん認定）</t>
    <rPh sb="0" eb="3">
      <t>ジセダイ</t>
    </rPh>
    <rPh sb="3" eb="5">
      <t>イクセイ</t>
    </rPh>
    <rPh sb="5" eb="7">
      <t>シエン</t>
    </rPh>
    <rPh sb="7" eb="9">
      <t>タイサク</t>
    </rPh>
    <rPh sb="9" eb="11">
      <t>スイシン</t>
    </rPh>
    <rPh sb="11" eb="12">
      <t>ホウ</t>
    </rPh>
    <rPh sb="13" eb="14">
      <t>モト</t>
    </rPh>
    <rPh sb="16" eb="18">
      <t>ニンテイ</t>
    </rPh>
    <phoneticPr fontId="3"/>
  </si>
  <si>
    <t>認定取得日を記入してください。（認定なしの場合は空欄）
※「ワーク・ライフ・バランス等認定」シート参照</t>
    <rPh sb="0" eb="2">
      <t>ニンテイ</t>
    </rPh>
    <rPh sb="2" eb="5">
      <t>シュトクビ</t>
    </rPh>
    <rPh sb="6" eb="8">
      <t>キニュウ</t>
    </rPh>
    <rPh sb="16" eb="18">
      <t>ニンテイ</t>
    </rPh>
    <rPh sb="21" eb="23">
      <t>バアイ</t>
    </rPh>
    <rPh sb="24" eb="26">
      <t>クウラン</t>
    </rPh>
    <rPh sb="42" eb="43">
      <t>トウ</t>
    </rPh>
    <rPh sb="43" eb="45">
      <t>ニンテイ</t>
    </rPh>
    <phoneticPr fontId="3"/>
  </si>
  <si>
    <t>　平成28年3月22日にすべての女性が輝く社会づくり本部において、社会全体で、女性活躍の前提となるワーク・ライフ・バランス等の実現に向けた取組を進めるため、新たに、女性活躍推進法第20条に基づき、総合評価落札方式等による事業でワーク・ライフ・バランス等推進企業をより幅広く加点評価することを定めた「女性の活躍推進に向けた公共調達及び補助金の活用に関する取組指針」が決定されました。本指針に基づき、女性活躍推進法に基づく認定(えるぼし認定)、次世代育成支援対策推進法に基づく認定(くるみん認定・プラチナくるみん認定)、若者雇用促進法に基づく認定（ユースエール認定）の状況について、対象認定取得日を［提案基本情報］シート（様式2）へ記載ください。</t>
    <rPh sb="289" eb="291">
      <t>タイショウ</t>
    </rPh>
    <rPh sb="291" eb="293">
      <t>ニンテイ</t>
    </rPh>
    <rPh sb="293" eb="296">
      <t>シュトクビ</t>
    </rPh>
    <rPh sb="298" eb="300">
      <t>テイアン</t>
    </rPh>
    <rPh sb="300" eb="302">
      <t>キホン</t>
    </rPh>
    <rPh sb="302" eb="304">
      <t>ジョウホウ</t>
    </rPh>
    <rPh sb="309" eb="311">
      <t>ヨウシキ</t>
    </rPh>
    <phoneticPr fontId="9"/>
  </si>
  <si>
    <t>【若手研究者（40歳以下）及び女性研究者数の記入について】</t>
    <phoneticPr fontId="9"/>
  </si>
  <si>
    <t>※※年齢は研究開始年度の４月１日時点を基準としてください。</t>
    <phoneticPr fontId="9"/>
  </si>
  <si>
    <t>※委託先で登録予定の研究者を対象としてください。</t>
    <phoneticPr fontId="9"/>
  </si>
  <si>
    <t>　「第5期科学技術基本計画」（平成２８年１月２２日閣議決定）において、若手研究者や女性研究者の育成・活躍促進が掲げられています。ＮＥＤＯにおいてもこれらの活動を促進するため、その一環として事業における当該研究者の参加予定数について、［提案基本情報］シート（様式2）へ記入をお願いします。いただいた情報は研究開発責任者候補及び主要研究員研究経歴書と併せて、研究開発等実施体制の審査のために利用されます。</t>
    <phoneticPr fontId="9"/>
  </si>
  <si>
    <t>登録予定の研究者のうち40歳以下の研究者数を半角数字で記入してください。
※「若手及び女性研究者数」シート参照</t>
    <rPh sb="0" eb="2">
      <t>トウロク</t>
    </rPh>
    <rPh sb="2" eb="4">
      <t>ヨテイ</t>
    </rPh>
    <rPh sb="5" eb="8">
      <t>ケンキュウシャ</t>
    </rPh>
    <rPh sb="13" eb="14">
      <t>サイ</t>
    </rPh>
    <rPh sb="14" eb="16">
      <t>イカ</t>
    </rPh>
    <rPh sb="17" eb="20">
      <t>ケンキュウシャ</t>
    </rPh>
    <rPh sb="20" eb="21">
      <t>スウ</t>
    </rPh>
    <rPh sb="27" eb="29">
      <t>キニュウ</t>
    </rPh>
    <phoneticPr fontId="3"/>
  </si>
  <si>
    <t>登録予定の研究者のうち女性の研究者数を半角数字で記入してください。
※「若手及び女性研究者数」シート参照</t>
    <rPh sb="0" eb="2">
      <t>トウロク</t>
    </rPh>
    <rPh sb="2" eb="4">
      <t>ヨテイ</t>
    </rPh>
    <rPh sb="5" eb="8">
      <t>ケンキュウシャ</t>
    </rPh>
    <rPh sb="11" eb="13">
      <t>ジョセイ</t>
    </rPh>
    <rPh sb="14" eb="17">
      <t>ケンキュウシャ</t>
    </rPh>
    <rPh sb="17" eb="18">
      <t>スウ</t>
    </rPh>
    <rPh sb="24" eb="26">
      <t>キニュウ</t>
    </rPh>
    <phoneticPr fontId="3"/>
  </si>
  <si>
    <t>会計監査人名を記入してください。（無しの場合は空欄）（企業のみ）
※「会計監査人の定義」シート参照</t>
    <rPh sb="0" eb="2">
      <t>カイケイ</t>
    </rPh>
    <rPh sb="2" eb="4">
      <t>カンサ</t>
    </rPh>
    <rPh sb="4" eb="5">
      <t>ニン</t>
    </rPh>
    <rPh sb="5" eb="6">
      <t>メイ</t>
    </rPh>
    <rPh sb="7" eb="9">
      <t>キニュウ</t>
    </rPh>
    <rPh sb="17" eb="18">
      <t>ナ</t>
    </rPh>
    <rPh sb="20" eb="22">
      <t>バアイ</t>
    </rPh>
    <rPh sb="23" eb="25">
      <t>クウラン</t>
    </rPh>
    <rPh sb="35" eb="37">
      <t>カイケイ</t>
    </rPh>
    <rPh sb="37" eb="39">
      <t>カンサ</t>
    </rPh>
    <rPh sb="39" eb="40">
      <t>ニン</t>
    </rPh>
    <phoneticPr fontId="3"/>
  </si>
  <si>
    <t>☆行や列を追加、削除しないでください。</t>
    <rPh sb="1" eb="2">
      <t>ギョウ</t>
    </rPh>
    <rPh sb="3" eb="4">
      <t>レツ</t>
    </rPh>
    <rPh sb="5" eb="7">
      <t>ツイカ</t>
    </rPh>
    <rPh sb="8" eb="10">
      <t>サクジョ</t>
    </rPh>
    <phoneticPr fontId="3"/>
  </si>
  <si>
    <t>変更不要</t>
    <rPh sb="0" eb="2">
      <t>ヘンコウ</t>
    </rPh>
    <rPh sb="2" eb="4">
      <t>フヨウ</t>
    </rPh>
    <phoneticPr fontId="3"/>
  </si>
  <si>
    <t>［再委託先／共同実施先］のいずれかを選択してください。</t>
    <rPh sb="1" eb="2">
      <t>サイ</t>
    </rPh>
    <rPh sb="2" eb="5">
      <t>イタクサキ</t>
    </rPh>
    <rPh sb="6" eb="8">
      <t>キョウドウ</t>
    </rPh>
    <rPh sb="8" eb="10">
      <t>ジッシ</t>
    </rPh>
    <rPh sb="10" eb="11">
      <t>サキ</t>
    </rPh>
    <rPh sb="18" eb="20">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</si>
</sst>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
    <numFmt numFmtId="177" formatCode="#,##0_ "/>
    <numFmt numFmtId="178" formatCode="0#"/>
    <numFmt numFmtId="179" formatCode="[$-F800]dddd\,\ mmmm\ dd\,\ yyyy"/>
    <numFmt numFmtId="180" formatCode="0_);[Red]\(0\)"/>
  </numFmts>
  <fonts count="2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1"/>
      <color theme="1"/>
      <name val="ＭＳ Ｐゴシック"/>
      <family val="3"/>
      <charset val="128"/>
      <scheme val="minor"/>
    </font>
    <font>
      <sz val="11"/>
      <color theme="1"/>
      <name val="ＭＳ Ｐ明朝"/>
      <family val="1"/>
      <charset val="128"/>
    </font>
    <font>
      <sz val="16"/>
      <color theme="1"/>
      <name val="ＭＳ Ｐゴシック"/>
      <family val="3"/>
      <charset val="128"/>
      <scheme val="minor"/>
    </font>
    <font>
      <sz val="16"/>
      <color theme="0"/>
      <name val="ＤＦ特太ゴシック体"/>
      <family val="3"/>
      <charset val="128"/>
    </font>
    <font>
      <sz val="6"/>
      <name val="ＭＳ Ｐゴシック"/>
      <family val="3"/>
      <charset val="128"/>
      <scheme val="minor"/>
    </font>
    <font>
      <u/>
      <sz val="11"/>
      <color theme="10"/>
      <name val="ＭＳ Ｐゴシック"/>
      <family val="3"/>
      <charset val="128"/>
      <scheme val="minor"/>
    </font>
    <font>
      <b/>
      <sz val="11"/>
      <color theme="0"/>
      <name val="ＭＳ Ｐゴシック"/>
      <family val="2"/>
      <charset val="128"/>
      <scheme val="minor"/>
    </font>
    <font>
      <b/>
      <sz val="12"/>
      <color rgb="FFFF0000"/>
      <name val="ＭＳ Ｐゴシック"/>
      <family val="3"/>
      <charset val="128"/>
      <scheme val="minor"/>
    </font>
    <font>
      <b/>
      <sz val="11"/>
      <color theme="1"/>
      <name val="ＭＳ Ｐゴシック"/>
      <family val="3"/>
      <charset val="128"/>
      <scheme val="minor"/>
    </font>
    <font>
      <sz val="11"/>
      <color theme="1"/>
      <name val="ＭＳ Ｐゴシック"/>
      <family val="2"/>
      <scheme val="minor"/>
    </font>
    <font>
      <sz val="11"/>
      <color theme="1"/>
      <name val="Meiryo UI"/>
      <family val="3"/>
      <charset val="128"/>
    </font>
    <font>
      <sz val="10"/>
      <name val="Meiryo UI"/>
      <family val="3"/>
      <charset val="128"/>
    </font>
    <font>
      <sz val="11"/>
      <name val="Meiryo UI"/>
      <family val="3"/>
      <charset val="128"/>
    </font>
    <font>
      <sz val="12"/>
      <color theme="1"/>
      <name val="Meiryo UI"/>
      <family val="3"/>
      <charset val="128"/>
    </font>
    <font>
      <sz val="14"/>
      <color theme="1"/>
      <name val="Meiryo UI"/>
      <family val="3"/>
      <charset val="128"/>
    </font>
    <font>
      <sz val="12"/>
      <color theme="1"/>
      <name val="ＭＳ Ｐゴシック"/>
      <family val="3"/>
      <charset val="128"/>
      <scheme val="minor"/>
    </font>
    <font>
      <sz val="12"/>
      <color theme="1"/>
      <name val="ＭＳ Ｐゴシック"/>
      <family val="2"/>
      <scheme val="minor"/>
    </font>
    <font>
      <sz val="11"/>
      <name val="ＭＳ Ｐゴシック"/>
      <family val="3"/>
      <charset val="128"/>
      <scheme val="minor"/>
    </font>
    <font>
      <sz val="11"/>
      <color theme="1"/>
      <name val="ＭＳ Ｐゴシック"/>
      <family val="3"/>
      <charset val="128"/>
    </font>
    <font>
      <sz val="16"/>
      <color theme="1"/>
      <name val="ＭＳ Ｐゴシック"/>
      <family val="3"/>
      <charset val="128"/>
    </font>
    <font>
      <sz val="10"/>
      <color theme="1"/>
      <name val="Century"/>
      <family val="1"/>
    </font>
    <font>
      <b/>
      <sz val="10.5"/>
      <color rgb="FF0000FF"/>
      <name val="ＭＳ 明朝"/>
      <family val="1"/>
      <charset val="128"/>
    </font>
    <font>
      <b/>
      <sz val="12"/>
      <color rgb="FF0000FF"/>
      <name val="ＭＳ 明朝"/>
      <family val="1"/>
      <charset val="128"/>
    </font>
    <font>
      <b/>
      <sz val="9"/>
      <color rgb="FF0000FF"/>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99"/>
        <bgColor indexed="64"/>
      </patternFill>
    </fill>
    <fill>
      <patternFill patternType="solid">
        <fgColor theme="6"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rgb="FF0000FF"/>
      </left>
      <right style="thick">
        <color rgb="FF0000FF"/>
      </right>
      <top style="thick">
        <color rgb="FF0000FF"/>
      </top>
      <bottom style="thin">
        <color indexed="64"/>
      </bottom>
      <diagonal/>
    </border>
    <border>
      <left style="thick">
        <color rgb="FF0000FF"/>
      </left>
      <right style="thick">
        <color rgb="FF0000FF"/>
      </right>
      <top style="thin">
        <color indexed="64"/>
      </top>
      <bottom style="thin">
        <color indexed="64"/>
      </bottom>
      <diagonal/>
    </border>
    <border>
      <left/>
      <right style="thick">
        <color rgb="FF0000FF"/>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0" fillId="0" borderId="0" applyNumberFormat="0" applyFill="0" applyBorder="0" applyAlignment="0" applyProtection="0">
      <alignment vertical="center"/>
    </xf>
    <xf numFmtId="0" fontId="1" fillId="0" borderId="0">
      <alignment vertical="center"/>
    </xf>
    <xf numFmtId="0" fontId="14" fillId="0" borderId="0"/>
    <xf numFmtId="38" fontId="14" fillId="0" borderId="0" applyFont="0" applyFill="0" applyBorder="0" applyAlignment="0" applyProtection="0">
      <alignment vertical="center"/>
    </xf>
  </cellStyleXfs>
  <cellXfs count="386">
    <xf numFmtId="0" fontId="0" fillId="0" borderId="0" xfId="0">
      <alignment vertical="center"/>
    </xf>
    <xf numFmtId="38" fontId="5" fillId="0" borderId="0" xfId="1" applyFont="1">
      <alignment vertical="center"/>
    </xf>
    <xf numFmtId="0" fontId="0" fillId="0" borderId="0" xfId="0" applyFill="1">
      <alignment vertical="center"/>
    </xf>
    <xf numFmtId="38" fontId="0" fillId="0" borderId="0" xfId="0" applyNumberFormat="1">
      <alignment vertical="center"/>
    </xf>
    <xf numFmtId="38" fontId="6" fillId="0" borderId="0" xfId="1" applyFont="1" applyAlignment="1">
      <alignment vertical="center"/>
    </xf>
    <xf numFmtId="38" fontId="6" fillId="0" borderId="0" xfId="1" applyFont="1">
      <alignment vertical="center"/>
    </xf>
    <xf numFmtId="38" fontId="6" fillId="0" borderId="1" xfId="1" applyFont="1" applyBorder="1" applyAlignment="1">
      <alignment horizontal="center" vertical="center"/>
    </xf>
    <xf numFmtId="38" fontId="6" fillId="0" borderId="1" xfId="1" applyFont="1" applyBorder="1" applyAlignment="1">
      <alignment horizontal="center" vertical="center" wrapText="1"/>
    </xf>
    <xf numFmtId="38" fontId="6" fillId="0" borderId="1" xfId="1" applyFont="1" applyBorder="1">
      <alignment vertical="center"/>
    </xf>
    <xf numFmtId="38" fontId="6" fillId="0" borderId="1" xfId="1" applyFont="1" applyBorder="1" applyAlignment="1">
      <alignment horizontal="right" vertical="center"/>
    </xf>
    <xf numFmtId="38" fontId="6" fillId="0" borderId="1" xfId="1" applyFont="1" applyFill="1" applyBorder="1">
      <alignment vertical="center"/>
    </xf>
    <xf numFmtId="38" fontId="7" fillId="0" borderId="0" xfId="1" applyFont="1" applyAlignment="1">
      <alignment horizontal="right" vertical="center"/>
    </xf>
    <xf numFmtId="0" fontId="7" fillId="0" borderId="0" xfId="0" applyFont="1" applyAlignment="1">
      <alignment horizontal="right" vertical="center"/>
    </xf>
    <xf numFmtId="0" fontId="4" fillId="0" borderId="0" xfId="0" applyFont="1">
      <alignment vertical="center"/>
    </xf>
    <xf numFmtId="0" fontId="6" fillId="0" borderId="0" xfId="0" applyFont="1">
      <alignment vertical="center"/>
    </xf>
    <xf numFmtId="38" fontId="6" fillId="0" borderId="0" xfId="1" applyFont="1" applyBorder="1">
      <alignment vertical="center"/>
    </xf>
    <xf numFmtId="0" fontId="6" fillId="0" borderId="0" xfId="0" applyFont="1" applyAlignment="1">
      <alignment horizontal="right" vertical="center"/>
    </xf>
    <xf numFmtId="38" fontId="6" fillId="0" borderId="5" xfId="1" applyFont="1" applyBorder="1" applyAlignment="1">
      <alignment horizontal="center" vertical="center"/>
    </xf>
    <xf numFmtId="38" fontId="6" fillId="0" borderId="0" xfId="1" applyFont="1" applyAlignment="1">
      <alignment horizontal="center" vertical="center"/>
    </xf>
    <xf numFmtId="38" fontId="6" fillId="0" borderId="5" xfId="1" applyFont="1" applyBorder="1">
      <alignment vertical="center"/>
    </xf>
    <xf numFmtId="38" fontId="6" fillId="0" borderId="6" xfId="1" applyFont="1" applyBorder="1">
      <alignment vertical="center"/>
    </xf>
    <xf numFmtId="38" fontId="6" fillId="0" borderId="1" xfId="1" applyNumberFormat="1" applyFont="1" applyBorder="1">
      <alignment vertical="center"/>
    </xf>
    <xf numFmtId="38" fontId="6" fillId="0" borderId="7" xfId="1" applyFont="1" applyBorder="1">
      <alignment vertical="center"/>
    </xf>
    <xf numFmtId="38" fontId="6" fillId="0" borderId="1" xfId="1" applyFont="1" applyBorder="1" applyAlignment="1">
      <alignment horizontal="left" vertical="center"/>
    </xf>
    <xf numFmtId="38" fontId="8" fillId="0" borderId="0" xfId="1" applyFont="1" applyFill="1" applyAlignment="1">
      <alignment horizontal="center" vertical="center"/>
    </xf>
    <xf numFmtId="38" fontId="6" fillId="0" borderId="1" xfId="1" applyFont="1" applyFill="1" applyBorder="1" applyAlignment="1">
      <alignment horizontal="center" vertical="center"/>
    </xf>
    <xf numFmtId="38" fontId="6" fillId="0" borderId="0" xfId="1" applyFont="1" applyFill="1">
      <alignment vertical="center"/>
    </xf>
    <xf numFmtId="40" fontId="6" fillId="0" borderId="0" xfId="1" applyNumberFormat="1" applyFont="1" applyFill="1">
      <alignment vertical="center"/>
    </xf>
    <xf numFmtId="40" fontId="6" fillId="0" borderId="0" xfId="1" applyNumberFormat="1" applyFont="1">
      <alignment vertical="center"/>
    </xf>
    <xf numFmtId="38" fontId="6" fillId="0" borderId="1" xfId="1" applyFont="1" applyBorder="1" applyAlignment="1">
      <alignment vertical="center"/>
    </xf>
    <xf numFmtId="38" fontId="6" fillId="0" borderId="0" xfId="1" applyFont="1" applyBorder="1" applyAlignment="1">
      <alignment horizontal="left" vertical="center"/>
    </xf>
    <xf numFmtId="176" fontId="6" fillId="0" borderId="1" xfId="1" applyNumberFormat="1" applyFont="1" applyFill="1" applyBorder="1">
      <alignment vertical="center"/>
    </xf>
    <xf numFmtId="0" fontId="10" fillId="0" borderId="0" xfId="4" applyAlignment="1">
      <alignment horizontal="justify" vertical="center"/>
    </xf>
    <xf numFmtId="38" fontId="0" fillId="0" borderId="0" xfId="1" applyFont="1" applyAlignment="1">
      <alignment vertical="center"/>
    </xf>
    <xf numFmtId="0" fontId="0" fillId="0" borderId="0" xfId="0" applyFont="1">
      <alignment vertical="center"/>
    </xf>
    <xf numFmtId="0" fontId="10" fillId="0" borderId="0" xfId="4">
      <alignment vertical="center"/>
    </xf>
    <xf numFmtId="38" fontId="10" fillId="0" borderId="0" xfId="4" applyNumberFormat="1">
      <alignment vertical="center"/>
    </xf>
    <xf numFmtId="0" fontId="13" fillId="3" borderId="4" xfId="5" applyFont="1" applyFill="1" applyBorder="1" applyAlignment="1" applyProtection="1">
      <alignment horizontal="center" vertical="center" wrapText="1"/>
    </xf>
    <xf numFmtId="0" fontId="5" fillId="0" borderId="9" xfId="5" applyFont="1" applyFill="1" applyBorder="1" applyAlignment="1" applyProtection="1">
      <alignment horizontal="center" vertical="center" wrapText="1"/>
      <protection locked="0"/>
    </xf>
    <xf numFmtId="177" fontId="5" fillId="0" borderId="9" xfId="5" applyNumberFormat="1" applyFont="1" applyFill="1" applyBorder="1" applyAlignment="1" applyProtection="1">
      <alignment horizontal="center" vertical="center" wrapText="1"/>
      <protection locked="0"/>
    </xf>
    <xf numFmtId="49" fontId="5" fillId="0" borderId="9" xfId="5" applyNumberFormat="1" applyFont="1" applyFill="1" applyBorder="1" applyAlignment="1" applyProtection="1">
      <alignment horizontal="center" vertical="center" wrapText="1"/>
      <protection locked="0"/>
    </xf>
    <xf numFmtId="0" fontId="15" fillId="0" borderId="0" xfId="6" applyFont="1" applyAlignment="1">
      <alignment horizontal="center"/>
    </xf>
    <xf numFmtId="0" fontId="15" fillId="0" borderId="0" xfId="6" applyFont="1" applyAlignment="1">
      <alignment horizontal="left"/>
    </xf>
    <xf numFmtId="0" fontId="15" fillId="0" borderId="0" xfId="6" applyFont="1"/>
    <xf numFmtId="0" fontId="14" fillId="0" borderId="0" xfId="6"/>
    <xf numFmtId="0" fontId="14" fillId="0" borderId="0" xfId="6" applyAlignment="1">
      <alignment horizontal="center"/>
    </xf>
    <xf numFmtId="0" fontId="14" fillId="0" borderId="0" xfId="6" applyAlignment="1">
      <alignment horizontal="left"/>
    </xf>
    <xf numFmtId="0" fontId="15" fillId="0" borderId="1" xfId="6" applyFont="1" applyBorder="1" applyAlignment="1">
      <alignment horizontal="center" vertical="center"/>
    </xf>
    <xf numFmtId="0" fontId="18" fillId="0" borderId="0" xfId="6" applyFont="1" applyAlignment="1">
      <alignment horizontal="center" vertical="top"/>
    </xf>
    <xf numFmtId="0" fontId="21" fillId="0" borderId="0" xfId="6" applyFont="1" applyAlignment="1">
      <alignment vertical="top"/>
    </xf>
    <xf numFmtId="0" fontId="15" fillId="0" borderId="1" xfId="6" applyFont="1" applyBorder="1" applyAlignment="1">
      <alignment horizontal="center" vertical="top"/>
    </xf>
    <xf numFmtId="0" fontId="16" fillId="0" borderId="1" xfId="6" applyFont="1" applyBorder="1" applyAlignment="1">
      <alignment horizontal="center" vertical="top" wrapText="1"/>
    </xf>
    <xf numFmtId="0" fontId="17" fillId="0" borderId="1" xfId="6" applyFont="1" applyBorder="1" applyAlignment="1">
      <alignment horizontal="left" vertical="top" wrapText="1"/>
    </xf>
    <xf numFmtId="0" fontId="0" fillId="0" borderId="9" xfId="5" applyFont="1" applyFill="1" applyBorder="1" applyAlignment="1" applyProtection="1">
      <alignment horizontal="center" vertical="center" wrapText="1"/>
      <protection locked="0"/>
    </xf>
    <xf numFmtId="38" fontId="0" fillId="0" borderId="0" xfId="0" applyNumberFormat="1" applyFont="1">
      <alignment vertical="center"/>
    </xf>
    <xf numFmtId="0" fontId="22" fillId="0" borderId="0" xfId="0" applyFont="1">
      <alignment vertical="center"/>
    </xf>
    <xf numFmtId="0" fontId="23" fillId="0" borderId="0" xfId="0" applyFont="1">
      <alignment vertical="center"/>
    </xf>
    <xf numFmtId="0" fontId="24" fillId="0" borderId="0" xfId="6" applyFont="1" applyAlignment="1">
      <alignment horizontal="right" vertical="center"/>
    </xf>
    <xf numFmtId="0" fontId="5" fillId="3" borderId="0" xfId="5" applyFont="1" applyFill="1" applyAlignment="1" applyProtection="1">
      <alignment horizontal="center" vertical="center"/>
    </xf>
    <xf numFmtId="0" fontId="5" fillId="3" borderId="0" xfId="5" applyFont="1" applyFill="1" applyAlignment="1" applyProtection="1">
      <alignment vertical="center" wrapText="1"/>
    </xf>
    <xf numFmtId="0" fontId="5" fillId="3" borderId="0" xfId="5" applyFont="1" applyFill="1" applyAlignment="1" applyProtection="1">
      <alignment horizontal="center" vertical="center" wrapText="1"/>
    </xf>
    <xf numFmtId="0" fontId="7" fillId="3" borderId="0" xfId="5" applyFont="1" applyFill="1" applyAlignment="1" applyProtection="1">
      <alignment horizontal="right" vertical="center"/>
    </xf>
    <xf numFmtId="0" fontId="5" fillId="3" borderId="0" xfId="5" applyFont="1" applyFill="1" applyProtection="1">
      <alignment vertical="center"/>
    </xf>
    <xf numFmtId="0" fontId="12" fillId="3" borderId="0" xfId="5" applyFont="1" applyFill="1" applyProtection="1">
      <alignment vertical="center"/>
    </xf>
    <xf numFmtId="0" fontId="13" fillId="3" borderId="1" xfId="5" applyFont="1" applyFill="1" applyBorder="1" applyAlignment="1" applyProtection="1">
      <alignment horizontal="center" vertical="center"/>
    </xf>
    <xf numFmtId="0" fontId="13" fillId="0" borderId="8" xfId="5" applyFont="1" applyFill="1" applyBorder="1" applyAlignment="1" applyProtection="1">
      <alignment horizontal="center" vertical="center" wrapText="1"/>
    </xf>
    <xf numFmtId="0" fontId="0" fillId="0" borderId="0" xfId="0" applyAlignment="1">
      <alignment vertical="center" wrapText="1"/>
    </xf>
    <xf numFmtId="9" fontId="22" fillId="0" borderId="1" xfId="0" applyNumberFormat="1" applyFont="1" applyBorder="1">
      <alignment vertical="center"/>
    </xf>
    <xf numFmtId="0" fontId="22" fillId="0" borderId="1" xfId="0" applyFont="1" applyBorder="1">
      <alignment vertical="center"/>
    </xf>
    <xf numFmtId="0" fontId="22" fillId="3" borderId="0" xfId="5" applyFont="1" applyFill="1" applyProtection="1">
      <alignment vertical="center"/>
    </xf>
    <xf numFmtId="0" fontId="5" fillId="4" borderId="1" xfId="5" quotePrefix="1" applyFont="1" applyFill="1" applyBorder="1" applyAlignment="1" applyProtection="1">
      <alignment horizontal="center" vertical="center"/>
    </xf>
    <xf numFmtId="0" fontId="5" fillId="4" borderId="1" xfId="5" applyFont="1" applyFill="1" applyBorder="1" applyAlignment="1" applyProtection="1">
      <alignment horizontal="center" vertical="center"/>
    </xf>
    <xf numFmtId="0" fontId="5" fillId="4" borderId="4" xfId="5" applyFont="1" applyFill="1" applyBorder="1" applyAlignment="1" applyProtection="1">
      <alignment horizontal="center" vertical="center" wrapText="1"/>
    </xf>
    <xf numFmtId="0" fontId="5" fillId="4" borderId="1" xfId="5" applyFont="1" applyFill="1" applyBorder="1" applyAlignment="1" applyProtection="1">
      <alignment vertical="center" wrapText="1"/>
    </xf>
    <xf numFmtId="0" fontId="0" fillId="4" borderId="2" xfId="5" applyFont="1" applyFill="1" applyBorder="1" applyAlignment="1" applyProtection="1">
      <alignment vertical="center"/>
    </xf>
    <xf numFmtId="0" fontId="5" fillId="4" borderId="2" xfId="5" applyFont="1" applyFill="1" applyBorder="1" applyAlignment="1" applyProtection="1">
      <alignment vertical="center"/>
    </xf>
    <xf numFmtId="0" fontId="5" fillId="4" borderId="1" xfId="5" applyFont="1" applyFill="1" applyBorder="1" applyAlignment="1" applyProtection="1">
      <alignment horizontal="center" vertical="center" wrapText="1"/>
    </xf>
    <xf numFmtId="0" fontId="5" fillId="4" borderId="4" xfId="5" applyFont="1" applyFill="1" applyBorder="1" applyAlignment="1" applyProtection="1">
      <alignment horizontal="center" vertical="center"/>
    </xf>
    <xf numFmtId="177" fontId="5" fillId="4" borderId="4" xfId="5" applyNumberFormat="1" applyFont="1" applyFill="1" applyBorder="1" applyAlignment="1" applyProtection="1">
      <alignment horizontal="center" vertical="center" wrapText="1"/>
    </xf>
    <xf numFmtId="0" fontId="1" fillId="4" borderId="4" xfId="5" applyFill="1" applyBorder="1" applyAlignment="1" applyProtection="1">
      <alignment horizontal="center" vertical="center"/>
    </xf>
    <xf numFmtId="0" fontId="5" fillId="4" borderId="4" xfId="5" applyNumberFormat="1" applyFont="1" applyFill="1" applyBorder="1" applyAlignment="1" applyProtection="1">
      <alignment horizontal="center" vertical="center" wrapText="1"/>
    </xf>
    <xf numFmtId="0" fontId="5" fillId="5" borderId="1" xfId="5" quotePrefix="1" applyFont="1" applyFill="1" applyBorder="1" applyAlignment="1" applyProtection="1">
      <alignment horizontal="center" vertical="center"/>
    </xf>
    <xf numFmtId="0" fontId="5" fillId="5" borderId="1" xfId="5" applyFont="1" applyFill="1" applyBorder="1" applyAlignment="1" applyProtection="1">
      <alignment horizontal="center" vertical="center"/>
    </xf>
    <xf numFmtId="0" fontId="5" fillId="5" borderId="4" xfId="5" applyFont="1" applyFill="1" applyBorder="1" applyAlignment="1" applyProtection="1">
      <alignment horizontal="center" vertical="center" wrapText="1"/>
    </xf>
    <xf numFmtId="0" fontId="5" fillId="5" borderId="1" xfId="5" applyFont="1" applyFill="1" applyBorder="1" applyAlignment="1" applyProtection="1">
      <alignment vertical="center" wrapText="1"/>
    </xf>
    <xf numFmtId="0" fontId="0" fillId="5" borderId="4" xfId="5" applyFont="1" applyFill="1" applyBorder="1" applyAlignment="1" applyProtection="1">
      <alignment horizontal="center" vertical="center" wrapText="1"/>
    </xf>
    <xf numFmtId="0" fontId="0" fillId="4" borderId="1" xfId="5" applyFont="1" applyFill="1" applyBorder="1" applyAlignment="1" applyProtection="1">
      <alignment vertical="center" wrapText="1"/>
    </xf>
    <xf numFmtId="0" fontId="0" fillId="5" borderId="1" xfId="5" applyFont="1" applyFill="1" applyBorder="1" applyAlignment="1" applyProtection="1">
      <alignment vertical="center" wrapText="1"/>
    </xf>
    <xf numFmtId="0" fontId="5" fillId="5" borderId="2" xfId="5" applyFont="1" applyFill="1" applyBorder="1" applyAlignment="1" applyProtection="1">
      <alignment vertical="center"/>
    </xf>
    <xf numFmtId="38" fontId="5" fillId="4" borderId="4" xfId="1" applyFont="1" applyFill="1" applyBorder="1" applyAlignment="1" applyProtection="1">
      <alignment horizontal="center" vertical="center" wrapText="1"/>
    </xf>
    <xf numFmtId="38" fontId="5" fillId="0" borderId="9" xfId="1" applyFont="1" applyFill="1" applyBorder="1" applyAlignment="1" applyProtection="1">
      <alignment horizontal="center" vertical="center" wrapText="1"/>
      <protection locked="0"/>
    </xf>
    <xf numFmtId="0" fontId="0" fillId="5" borderId="1" xfId="5" applyFont="1" applyFill="1" applyBorder="1" applyAlignment="1" applyProtection="1">
      <alignment vertical="center" wrapText="1"/>
    </xf>
    <xf numFmtId="0" fontId="13" fillId="0" borderId="0" xfId="0" applyFont="1">
      <alignment vertical="center"/>
    </xf>
    <xf numFmtId="0" fontId="0" fillId="0" borderId="6" xfId="0" applyBorder="1">
      <alignment vertical="center"/>
    </xf>
    <xf numFmtId="0" fontId="0" fillId="0" borderId="14" xfId="0" applyBorder="1">
      <alignment vertical="center"/>
    </xf>
    <xf numFmtId="0" fontId="0" fillId="0" borderId="17" xfId="0" applyBorder="1">
      <alignment vertical="center"/>
    </xf>
    <xf numFmtId="0" fontId="0" fillId="0" borderId="18" xfId="0" applyBorder="1" applyAlignment="1">
      <alignment horizontal="centerContinuous" vertical="center"/>
    </xf>
    <xf numFmtId="0" fontId="0" fillId="0" borderId="23" xfId="0" applyBorder="1">
      <alignment vertical="center"/>
    </xf>
    <xf numFmtId="0" fontId="0" fillId="0" borderId="13" xfId="0" applyBorder="1">
      <alignment vertical="center"/>
    </xf>
    <xf numFmtId="0" fontId="0" fillId="0" borderId="25"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178" fontId="0" fillId="0" borderId="12" xfId="0" applyNumberFormat="1" applyBorder="1" applyAlignment="1">
      <alignment horizontal="center" vertical="center"/>
    </xf>
    <xf numFmtId="178" fontId="0" fillId="0" borderId="16" xfId="0" applyNumberFormat="1" applyBorder="1" applyAlignment="1">
      <alignment horizontal="center" vertical="center"/>
    </xf>
    <xf numFmtId="178" fontId="0" fillId="0" borderId="20" xfId="0" applyNumberFormat="1" applyBorder="1" applyAlignment="1">
      <alignment horizontal="center" vertical="center"/>
    </xf>
    <xf numFmtId="178" fontId="0" fillId="0" borderId="1" xfId="0" applyNumberFormat="1"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11" xfId="0" applyBorder="1">
      <alignment vertical="center"/>
    </xf>
    <xf numFmtId="0" fontId="0" fillId="0" borderId="29" xfId="0" applyBorder="1">
      <alignment vertical="center"/>
    </xf>
    <xf numFmtId="49" fontId="5" fillId="4" borderId="4" xfId="5" applyNumberFormat="1" applyFont="1" applyFill="1" applyBorder="1" applyAlignment="1" applyProtection="1">
      <alignment horizontal="center" vertical="center" wrapText="1"/>
    </xf>
    <xf numFmtId="0" fontId="5" fillId="6" borderId="1" xfId="5" quotePrefix="1" applyFont="1" applyFill="1" applyBorder="1" applyAlignment="1" applyProtection="1">
      <alignment horizontal="center" vertical="center"/>
    </xf>
    <xf numFmtId="0" fontId="5" fillId="6" borderId="1" xfId="5" applyFont="1" applyFill="1" applyBorder="1" applyAlignment="1" applyProtection="1">
      <alignment horizontal="center" vertical="center"/>
    </xf>
    <xf numFmtId="0" fontId="5" fillId="6" borderId="4" xfId="5" applyFont="1" applyFill="1" applyBorder="1" applyAlignment="1" applyProtection="1">
      <alignment horizontal="center" vertical="center" wrapText="1"/>
    </xf>
    <xf numFmtId="0" fontId="5" fillId="6" borderId="1" xfId="5" applyFont="1" applyFill="1" applyBorder="1" applyAlignment="1" applyProtection="1">
      <alignment vertical="center" wrapText="1"/>
    </xf>
    <xf numFmtId="0" fontId="0" fillId="6" borderId="4" xfId="5" applyFont="1" applyFill="1" applyBorder="1" applyAlignment="1" applyProtection="1">
      <alignment horizontal="center" vertical="center" wrapText="1"/>
    </xf>
    <xf numFmtId="0" fontId="22" fillId="6" borderId="1" xfId="5" applyFont="1" applyFill="1" applyBorder="1" applyAlignment="1" applyProtection="1">
      <alignment vertical="center" wrapText="1"/>
    </xf>
    <xf numFmtId="0" fontId="5" fillId="6" borderId="4" xfId="5" applyFont="1" applyFill="1" applyBorder="1" applyAlignment="1" applyProtection="1">
      <alignment horizontal="left" vertical="center" wrapText="1"/>
    </xf>
    <xf numFmtId="0" fontId="0" fillId="5" borderId="1" xfId="5" applyFont="1" applyFill="1" applyBorder="1" applyAlignment="1" applyProtection="1">
      <alignment horizontal="center" vertical="center"/>
    </xf>
    <xf numFmtId="0" fontId="0" fillId="5" borderId="2" xfId="5" applyFont="1" applyFill="1" applyBorder="1" applyAlignment="1" applyProtection="1">
      <alignment vertical="center"/>
    </xf>
    <xf numFmtId="177" fontId="0" fillId="5" borderId="4" xfId="5" applyNumberFormat="1" applyFont="1" applyFill="1" applyBorder="1" applyAlignment="1" applyProtection="1">
      <alignment horizontal="center" vertical="center" wrapText="1"/>
    </xf>
    <xf numFmtId="0" fontId="5" fillId="5" borderId="1" xfId="5" applyFont="1" applyFill="1" applyBorder="1" applyAlignment="1" applyProtection="1">
      <alignment horizontal="center" vertical="center" wrapText="1"/>
    </xf>
    <xf numFmtId="0" fontId="5" fillId="5" borderId="4" xfId="5" applyFont="1" applyFill="1" applyBorder="1" applyAlignment="1" applyProtection="1">
      <alignment horizontal="center" vertical="center"/>
    </xf>
    <xf numFmtId="177" fontId="5" fillId="5" borderId="4" xfId="5" applyNumberFormat="1" applyFont="1" applyFill="1" applyBorder="1" applyAlignment="1" applyProtection="1">
      <alignment horizontal="center" vertical="center" wrapText="1"/>
    </xf>
    <xf numFmtId="0" fontId="1" fillId="5" borderId="4" xfId="5" applyFill="1" applyBorder="1" applyAlignment="1" applyProtection="1">
      <alignment horizontal="center" vertical="center"/>
    </xf>
    <xf numFmtId="38" fontId="5" fillId="5" borderId="4" xfId="1" applyFont="1" applyFill="1" applyBorder="1" applyAlignment="1" applyProtection="1">
      <alignment horizontal="center" vertical="center" wrapText="1"/>
    </xf>
    <xf numFmtId="0" fontId="5" fillId="5" borderId="4" xfId="5" applyNumberFormat="1" applyFont="1" applyFill="1" applyBorder="1" applyAlignment="1" applyProtection="1">
      <alignment horizontal="center" vertical="center" wrapText="1"/>
    </xf>
    <xf numFmtId="49" fontId="0" fillId="5" borderId="4" xfId="5" applyNumberFormat="1" applyFont="1" applyFill="1" applyBorder="1" applyAlignment="1" applyProtection="1">
      <alignment horizontal="center" vertical="center" wrapText="1"/>
    </xf>
    <xf numFmtId="0" fontId="13" fillId="0" borderId="19" xfId="0" applyFont="1" applyBorder="1" applyAlignment="1">
      <alignment horizontal="centerContinuous"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11" xfId="0" applyFont="1" applyBorder="1" applyAlignment="1">
      <alignment horizontal="center" vertical="center"/>
    </xf>
    <xf numFmtId="179" fontId="5" fillId="0" borderId="9" xfId="5" applyNumberFormat="1" applyFont="1" applyFill="1" applyBorder="1" applyAlignment="1" applyProtection="1">
      <alignment horizontal="center" vertical="center" wrapText="1"/>
      <protection locked="0"/>
    </xf>
    <xf numFmtId="179" fontId="5" fillId="5" borderId="4" xfId="5" applyNumberFormat="1" applyFont="1" applyFill="1" applyBorder="1" applyAlignment="1" applyProtection="1">
      <alignment horizontal="center" vertical="center" wrapText="1"/>
    </xf>
    <xf numFmtId="180" fontId="5" fillId="0" borderId="9" xfId="5" applyNumberFormat="1" applyFont="1" applyFill="1" applyBorder="1" applyAlignment="1" applyProtection="1">
      <alignment horizontal="center" vertical="center" wrapText="1"/>
      <protection locked="0"/>
    </xf>
    <xf numFmtId="179" fontId="5" fillId="4" borderId="4" xfId="5" applyNumberFormat="1" applyFont="1" applyFill="1" applyBorder="1" applyAlignment="1" applyProtection="1">
      <alignment horizontal="center" vertical="center" wrapText="1"/>
    </xf>
    <xf numFmtId="0" fontId="5" fillId="7" borderId="1" xfId="5" quotePrefix="1" applyFont="1" applyFill="1" applyBorder="1" applyAlignment="1" applyProtection="1">
      <alignment horizontal="center" vertical="center"/>
    </xf>
    <xf numFmtId="0" fontId="5" fillId="7" borderId="1" xfId="5" applyFont="1" applyFill="1" applyBorder="1" applyAlignment="1" applyProtection="1">
      <alignment horizontal="center" vertical="center"/>
    </xf>
    <xf numFmtId="0" fontId="0" fillId="7" borderId="2" xfId="5" applyFont="1" applyFill="1" applyBorder="1" applyAlignment="1" applyProtection="1">
      <alignment vertical="center"/>
    </xf>
    <xf numFmtId="0" fontId="5" fillId="7" borderId="2" xfId="5" applyFont="1" applyFill="1" applyBorder="1" applyAlignment="1" applyProtection="1">
      <alignment vertical="center"/>
    </xf>
    <xf numFmtId="0" fontId="5" fillId="7" borderId="4" xfId="5" applyFont="1" applyFill="1" applyBorder="1" applyAlignment="1" applyProtection="1">
      <alignment horizontal="center" vertical="center" wrapText="1"/>
    </xf>
    <xf numFmtId="0" fontId="5" fillId="7" borderId="1" xfId="5" applyFont="1" applyFill="1" applyBorder="1" applyAlignment="1" applyProtection="1">
      <alignment vertical="center" wrapText="1"/>
    </xf>
    <xf numFmtId="0" fontId="5" fillId="7" borderId="1" xfId="5" applyFont="1" applyFill="1" applyBorder="1" applyAlignment="1" applyProtection="1">
      <alignment horizontal="center" vertical="center" wrapText="1"/>
    </xf>
    <xf numFmtId="0" fontId="5" fillId="7" borderId="4" xfId="5" applyFont="1" applyFill="1" applyBorder="1" applyAlignment="1" applyProtection="1">
      <alignment horizontal="center" vertical="center"/>
    </xf>
    <xf numFmtId="177" fontId="5" fillId="7" borderId="4" xfId="5" applyNumberFormat="1" applyFont="1" applyFill="1" applyBorder="1" applyAlignment="1" applyProtection="1">
      <alignment horizontal="center" vertical="center" wrapText="1"/>
    </xf>
    <xf numFmtId="0" fontId="1" fillId="7" borderId="4" xfId="5" applyFill="1" applyBorder="1" applyAlignment="1" applyProtection="1">
      <alignment horizontal="center" vertical="center"/>
    </xf>
    <xf numFmtId="0" fontId="5" fillId="7" borderId="4" xfId="5" applyNumberFormat="1" applyFont="1" applyFill="1" applyBorder="1" applyAlignment="1" applyProtection="1">
      <alignment horizontal="center" vertical="center" wrapText="1"/>
    </xf>
    <xf numFmtId="49" fontId="5" fillId="7" borderId="4" xfId="5" applyNumberFormat="1" applyFont="1" applyFill="1" applyBorder="1" applyAlignment="1" applyProtection="1">
      <alignment horizontal="center" vertical="center" wrapText="1"/>
    </xf>
    <xf numFmtId="38" fontId="5" fillId="7" borderId="4" xfId="1" applyFont="1" applyFill="1" applyBorder="1" applyAlignment="1" applyProtection="1">
      <alignment horizontal="center" vertical="center" wrapText="1"/>
    </xf>
    <xf numFmtId="179" fontId="5" fillId="7" borderId="4" xfId="5" applyNumberFormat="1" applyFont="1" applyFill="1" applyBorder="1" applyAlignment="1" applyProtection="1">
      <alignment horizontal="center" vertical="center" wrapText="1"/>
    </xf>
    <xf numFmtId="0" fontId="0" fillId="7" borderId="1" xfId="5" applyFont="1" applyFill="1" applyBorder="1" applyAlignment="1" applyProtection="1">
      <alignment vertical="center" wrapText="1"/>
    </xf>
    <xf numFmtId="0" fontId="5" fillId="8" borderId="1" xfId="5" quotePrefix="1" applyFont="1" applyFill="1" applyBorder="1" applyAlignment="1" applyProtection="1">
      <alignment horizontal="center" vertical="center"/>
    </xf>
    <xf numFmtId="0" fontId="5" fillId="8" borderId="1" xfId="5" applyFont="1" applyFill="1" applyBorder="1" applyAlignment="1" applyProtection="1">
      <alignment horizontal="center" vertical="center"/>
    </xf>
    <xf numFmtId="0" fontId="0" fillId="8" borderId="2" xfId="5" applyFont="1" applyFill="1" applyBorder="1" applyAlignment="1" applyProtection="1">
      <alignment vertical="center"/>
    </xf>
    <xf numFmtId="0" fontId="5" fillId="8" borderId="2" xfId="5" applyFont="1" applyFill="1" applyBorder="1" applyAlignment="1" applyProtection="1">
      <alignment vertical="center"/>
    </xf>
    <xf numFmtId="0" fontId="5" fillId="8" borderId="4" xfId="5" applyFont="1" applyFill="1" applyBorder="1" applyAlignment="1" applyProtection="1">
      <alignment horizontal="center" vertical="center" wrapText="1"/>
    </xf>
    <xf numFmtId="0" fontId="5" fillId="8" borderId="1" xfId="5" applyFont="1" applyFill="1" applyBorder="1" applyAlignment="1" applyProtection="1">
      <alignment vertical="center" wrapText="1"/>
    </xf>
    <xf numFmtId="0" fontId="5" fillId="8" borderId="1" xfId="5" applyFont="1" applyFill="1" applyBorder="1" applyAlignment="1" applyProtection="1">
      <alignment horizontal="center" vertical="center" wrapText="1"/>
    </xf>
    <xf numFmtId="0" fontId="5" fillId="8" borderId="4" xfId="5" applyFont="1" applyFill="1" applyBorder="1" applyAlignment="1" applyProtection="1">
      <alignment horizontal="center" vertical="center"/>
    </xf>
    <xf numFmtId="177" fontId="5" fillId="8" borderId="4" xfId="5" applyNumberFormat="1" applyFont="1" applyFill="1" applyBorder="1" applyAlignment="1" applyProtection="1">
      <alignment horizontal="center" vertical="center" wrapText="1"/>
    </xf>
    <xf numFmtId="0" fontId="1" fillId="8" borderId="4" xfId="5" applyFill="1" applyBorder="1" applyAlignment="1" applyProtection="1">
      <alignment horizontal="center" vertical="center"/>
    </xf>
    <xf numFmtId="0" fontId="5" fillId="8" borderId="4" xfId="5" applyNumberFormat="1" applyFont="1" applyFill="1" applyBorder="1" applyAlignment="1" applyProtection="1">
      <alignment horizontal="center" vertical="center" wrapText="1"/>
    </xf>
    <xf numFmtId="49" fontId="5" fillId="8" borderId="4" xfId="5" applyNumberFormat="1" applyFont="1" applyFill="1" applyBorder="1" applyAlignment="1" applyProtection="1">
      <alignment horizontal="center" vertical="center" wrapText="1"/>
    </xf>
    <xf numFmtId="38" fontId="5" fillId="8" borderId="4" xfId="1" applyFont="1" applyFill="1" applyBorder="1" applyAlignment="1" applyProtection="1">
      <alignment horizontal="center" vertical="center" wrapText="1"/>
    </xf>
    <xf numFmtId="179" fontId="5" fillId="8" borderId="4" xfId="5" applyNumberFormat="1" applyFont="1" applyFill="1" applyBorder="1" applyAlignment="1" applyProtection="1">
      <alignment horizontal="center" vertical="center" wrapText="1"/>
    </xf>
    <xf numFmtId="0" fontId="0" fillId="8" borderId="1" xfId="5" applyFont="1" applyFill="1" applyBorder="1" applyAlignment="1" applyProtection="1">
      <alignment vertical="center" wrapText="1"/>
    </xf>
    <xf numFmtId="0" fontId="5" fillId="9" borderId="1" xfId="5" quotePrefix="1" applyFont="1" applyFill="1" applyBorder="1" applyAlignment="1" applyProtection="1">
      <alignment horizontal="center" vertical="center"/>
    </xf>
    <xf numFmtId="0" fontId="5" fillId="9" borderId="1" xfId="5" applyFont="1" applyFill="1" applyBorder="1" applyAlignment="1" applyProtection="1">
      <alignment horizontal="center" vertical="center"/>
    </xf>
    <xf numFmtId="0" fontId="0" fillId="9" borderId="2" xfId="5" applyFont="1" applyFill="1" applyBorder="1" applyAlignment="1" applyProtection="1">
      <alignment vertical="center"/>
    </xf>
    <xf numFmtId="0" fontId="5" fillId="9" borderId="2" xfId="5" applyFont="1" applyFill="1" applyBorder="1" applyAlignment="1" applyProtection="1">
      <alignment vertical="center"/>
    </xf>
    <xf numFmtId="0" fontId="5" fillId="9" borderId="4" xfId="5" applyFont="1" applyFill="1" applyBorder="1" applyAlignment="1" applyProtection="1">
      <alignment horizontal="center" vertical="center" wrapText="1"/>
    </xf>
    <xf numFmtId="0" fontId="5" fillId="9" borderId="1" xfId="5" applyFont="1" applyFill="1" applyBorder="1" applyAlignment="1" applyProtection="1">
      <alignment vertical="center" wrapText="1"/>
    </xf>
    <xf numFmtId="0" fontId="5" fillId="9" borderId="1" xfId="5" applyFont="1" applyFill="1" applyBorder="1" applyAlignment="1" applyProtection="1">
      <alignment horizontal="center" vertical="center" wrapText="1"/>
    </xf>
    <xf numFmtId="0" fontId="5" fillId="9" borderId="4" xfId="5" applyFont="1" applyFill="1" applyBorder="1" applyAlignment="1" applyProtection="1">
      <alignment horizontal="center" vertical="center"/>
    </xf>
    <xf numFmtId="177" fontId="5" fillId="9" borderId="4" xfId="5" applyNumberFormat="1" applyFont="1" applyFill="1" applyBorder="1" applyAlignment="1" applyProtection="1">
      <alignment horizontal="center" vertical="center" wrapText="1"/>
    </xf>
    <xf numFmtId="0" fontId="1" fillId="9" borderId="4" xfId="5" applyFill="1" applyBorder="1" applyAlignment="1" applyProtection="1">
      <alignment horizontal="center" vertical="center"/>
    </xf>
    <xf numFmtId="0" fontId="5" fillId="9" borderId="4" xfId="5" applyNumberFormat="1" applyFont="1" applyFill="1" applyBorder="1" applyAlignment="1" applyProtection="1">
      <alignment horizontal="center" vertical="center" wrapText="1"/>
    </xf>
    <xf numFmtId="49" fontId="5" fillId="9" borderId="4" xfId="5" applyNumberFormat="1" applyFont="1" applyFill="1" applyBorder="1" applyAlignment="1" applyProtection="1">
      <alignment horizontal="center" vertical="center" wrapText="1"/>
    </xf>
    <xf numFmtId="38" fontId="5" fillId="9" borderId="4" xfId="1" applyFont="1" applyFill="1" applyBorder="1" applyAlignment="1" applyProtection="1">
      <alignment horizontal="center" vertical="center" wrapText="1"/>
    </xf>
    <xf numFmtId="179" fontId="5" fillId="9" borderId="4" xfId="5" applyNumberFormat="1" applyFont="1" applyFill="1" applyBorder="1" applyAlignment="1" applyProtection="1">
      <alignment horizontal="center" vertical="center" wrapText="1"/>
    </xf>
    <xf numFmtId="0" fontId="0" fillId="9" borderId="1" xfId="5" applyFont="1" applyFill="1" applyBorder="1" applyAlignment="1" applyProtection="1">
      <alignment vertical="center" wrapText="1"/>
    </xf>
    <xf numFmtId="0" fontId="0" fillId="8" borderId="1" xfId="5" applyFont="1" applyFill="1" applyBorder="1" applyAlignment="1" applyProtection="1">
      <alignment horizontal="center" vertical="center"/>
    </xf>
    <xf numFmtId="0" fontId="0" fillId="9" borderId="1" xfId="5" applyFont="1" applyFill="1" applyBorder="1" applyAlignment="1" applyProtection="1">
      <alignment horizontal="center" vertical="center"/>
    </xf>
    <xf numFmtId="0" fontId="5" fillId="10" borderId="1" xfId="5" quotePrefix="1" applyFont="1" applyFill="1" applyBorder="1" applyAlignment="1" applyProtection="1">
      <alignment horizontal="center" vertical="center"/>
    </xf>
    <xf numFmtId="0" fontId="0" fillId="10" borderId="1" xfId="5" applyFont="1" applyFill="1" applyBorder="1" applyAlignment="1" applyProtection="1">
      <alignment horizontal="center" vertical="center"/>
    </xf>
    <xf numFmtId="0" fontId="0" fillId="10" borderId="2" xfId="5" applyFont="1" applyFill="1" applyBorder="1" applyAlignment="1" applyProtection="1">
      <alignment vertical="center"/>
    </xf>
    <xf numFmtId="0" fontId="5" fillId="10" borderId="1" xfId="5" applyFont="1" applyFill="1" applyBorder="1" applyAlignment="1" applyProtection="1">
      <alignment horizontal="center" vertical="center"/>
    </xf>
    <xf numFmtId="0" fontId="5" fillId="10" borderId="2" xfId="5" applyFont="1" applyFill="1" applyBorder="1" applyAlignment="1" applyProtection="1">
      <alignment vertical="center"/>
    </xf>
    <xf numFmtId="0" fontId="5" fillId="10" borderId="4" xfId="5" applyFont="1" applyFill="1" applyBorder="1" applyAlignment="1" applyProtection="1">
      <alignment horizontal="center" vertical="center" wrapText="1"/>
    </xf>
    <xf numFmtId="0" fontId="5" fillId="10" borderId="1" xfId="5" applyFont="1" applyFill="1" applyBorder="1" applyAlignment="1" applyProtection="1">
      <alignment vertical="center" wrapText="1"/>
    </xf>
    <xf numFmtId="0" fontId="5" fillId="10" borderId="1" xfId="5" applyFont="1" applyFill="1" applyBorder="1" applyAlignment="1" applyProtection="1">
      <alignment horizontal="center" vertical="center" wrapText="1"/>
    </xf>
    <xf numFmtId="0" fontId="5" fillId="10" borderId="4" xfId="5" applyFont="1" applyFill="1" applyBorder="1" applyAlignment="1" applyProtection="1">
      <alignment horizontal="center" vertical="center"/>
    </xf>
    <xf numFmtId="177" fontId="5" fillId="10" borderId="4" xfId="5" applyNumberFormat="1" applyFont="1" applyFill="1" applyBorder="1" applyAlignment="1" applyProtection="1">
      <alignment horizontal="center" vertical="center" wrapText="1"/>
    </xf>
    <xf numFmtId="0" fontId="1" fillId="10" borderId="4" xfId="5" applyFill="1" applyBorder="1" applyAlignment="1" applyProtection="1">
      <alignment horizontal="center" vertical="center"/>
    </xf>
    <xf numFmtId="0" fontId="5" fillId="10" borderId="4" xfId="5" applyNumberFormat="1" applyFont="1" applyFill="1" applyBorder="1" applyAlignment="1" applyProtection="1">
      <alignment horizontal="center" vertical="center" wrapText="1"/>
    </xf>
    <xf numFmtId="49" fontId="5" fillId="10" borderId="4" xfId="5" applyNumberFormat="1" applyFont="1" applyFill="1" applyBorder="1" applyAlignment="1" applyProtection="1">
      <alignment horizontal="center" vertical="center" wrapText="1"/>
    </xf>
    <xf numFmtId="38" fontId="5" fillId="10" borderId="4" xfId="1" applyFont="1" applyFill="1" applyBorder="1" applyAlignment="1" applyProtection="1">
      <alignment horizontal="center" vertical="center" wrapText="1"/>
    </xf>
    <xf numFmtId="179" fontId="5" fillId="10" borderId="4" xfId="5" applyNumberFormat="1" applyFont="1" applyFill="1" applyBorder="1" applyAlignment="1" applyProtection="1">
      <alignment horizontal="center" vertical="center" wrapText="1"/>
    </xf>
    <xf numFmtId="0" fontId="0" fillId="10" borderId="1" xfId="5" applyFont="1" applyFill="1" applyBorder="1" applyAlignment="1" applyProtection="1">
      <alignment vertical="center" wrapText="1"/>
    </xf>
    <xf numFmtId="0" fontId="5" fillId="11" borderId="1" xfId="5" quotePrefix="1" applyFont="1" applyFill="1" applyBorder="1" applyAlignment="1" applyProtection="1">
      <alignment horizontal="center" vertical="center"/>
    </xf>
    <xf numFmtId="0" fontId="0" fillId="11" borderId="1" xfId="5" applyFont="1" applyFill="1" applyBorder="1" applyAlignment="1" applyProtection="1">
      <alignment horizontal="center" vertical="center"/>
    </xf>
    <xf numFmtId="0" fontId="5" fillId="11" borderId="1" xfId="5" applyFont="1" applyFill="1" applyBorder="1" applyAlignment="1" applyProtection="1">
      <alignment horizontal="center" vertical="center"/>
    </xf>
    <xf numFmtId="0" fontId="0" fillId="11" borderId="2" xfId="5" applyFont="1" applyFill="1" applyBorder="1" applyAlignment="1" applyProtection="1">
      <alignment vertical="center"/>
    </xf>
    <xf numFmtId="0" fontId="5" fillId="11" borderId="2" xfId="5" applyFont="1" applyFill="1" applyBorder="1" applyAlignment="1" applyProtection="1">
      <alignment vertical="center"/>
    </xf>
    <xf numFmtId="177" fontId="5" fillId="11" borderId="4" xfId="5" applyNumberFormat="1" applyFont="1" applyFill="1" applyBorder="1" applyAlignment="1" applyProtection="1">
      <alignment horizontal="center" vertical="center" wrapText="1"/>
    </xf>
    <xf numFmtId="0" fontId="5" fillId="11" borderId="1" xfId="5" applyFont="1" applyFill="1" applyBorder="1" applyAlignment="1" applyProtection="1">
      <alignment vertical="center" wrapText="1"/>
    </xf>
    <xf numFmtId="0" fontId="5" fillId="11" borderId="4" xfId="5" applyFont="1" applyFill="1" applyBorder="1" applyAlignment="1" applyProtection="1">
      <alignment horizontal="center" vertical="center" wrapText="1"/>
    </xf>
    <xf numFmtId="0" fontId="5" fillId="11" borderId="1" xfId="5" applyFont="1" applyFill="1" applyBorder="1" applyAlignment="1" applyProtection="1">
      <alignment horizontal="center" vertical="center" wrapText="1"/>
    </xf>
    <xf numFmtId="0" fontId="5" fillId="11" borderId="4" xfId="5" applyFont="1" applyFill="1" applyBorder="1" applyAlignment="1" applyProtection="1">
      <alignment horizontal="center" vertical="center"/>
    </xf>
    <xf numFmtId="0" fontId="1" fillId="11" borderId="4" xfId="5" applyFill="1" applyBorder="1" applyAlignment="1" applyProtection="1">
      <alignment horizontal="center" vertical="center"/>
    </xf>
    <xf numFmtId="0" fontId="5" fillId="11" borderId="4" xfId="5" applyNumberFormat="1" applyFont="1" applyFill="1" applyBorder="1" applyAlignment="1" applyProtection="1">
      <alignment horizontal="center" vertical="center" wrapText="1"/>
    </xf>
    <xf numFmtId="49" fontId="5" fillId="11" borderId="4" xfId="5" applyNumberFormat="1" applyFont="1" applyFill="1" applyBorder="1" applyAlignment="1" applyProtection="1">
      <alignment horizontal="center" vertical="center" wrapText="1"/>
    </xf>
    <xf numFmtId="38" fontId="5" fillId="11" borderId="4" xfId="1" applyFont="1" applyFill="1" applyBorder="1" applyAlignment="1" applyProtection="1">
      <alignment horizontal="center" vertical="center" wrapText="1"/>
    </xf>
    <xf numFmtId="179" fontId="5" fillId="11" borderId="4" xfId="5" applyNumberFormat="1" applyFont="1" applyFill="1" applyBorder="1" applyAlignment="1" applyProtection="1">
      <alignment horizontal="center" vertical="center" wrapText="1"/>
    </xf>
    <xf numFmtId="0" fontId="0" fillId="11" borderId="1" xfId="5" applyFont="1" applyFill="1" applyBorder="1" applyAlignment="1" applyProtection="1">
      <alignment vertical="center" wrapText="1"/>
    </xf>
    <xf numFmtId="0" fontId="5" fillId="12" borderId="1" xfId="5" quotePrefix="1" applyFont="1" applyFill="1" applyBorder="1" applyAlignment="1" applyProtection="1">
      <alignment horizontal="center" vertical="center"/>
    </xf>
    <xf numFmtId="0" fontId="0" fillId="12" borderId="1" xfId="5" applyFont="1" applyFill="1" applyBorder="1" applyAlignment="1" applyProtection="1">
      <alignment horizontal="center" vertical="center"/>
    </xf>
    <xf numFmtId="0" fontId="0" fillId="12" borderId="2" xfId="5" applyFont="1" applyFill="1" applyBorder="1" applyAlignment="1" applyProtection="1">
      <alignment vertical="center"/>
    </xf>
    <xf numFmtId="0" fontId="5" fillId="12" borderId="1" xfId="5" applyFont="1" applyFill="1" applyBorder="1" applyAlignment="1" applyProtection="1">
      <alignment horizontal="center" vertical="center"/>
    </xf>
    <xf numFmtId="0" fontId="5" fillId="12" borderId="2" xfId="5" applyFont="1" applyFill="1" applyBorder="1" applyAlignment="1" applyProtection="1">
      <alignment vertical="center"/>
    </xf>
    <xf numFmtId="0" fontId="5" fillId="12" borderId="4" xfId="5" applyFont="1" applyFill="1" applyBorder="1" applyAlignment="1" applyProtection="1">
      <alignment horizontal="center" vertical="center" wrapText="1"/>
    </xf>
    <xf numFmtId="0" fontId="5" fillId="12" borderId="1" xfId="5" applyFont="1" applyFill="1" applyBorder="1" applyAlignment="1" applyProtection="1">
      <alignment vertical="center" wrapText="1"/>
    </xf>
    <xf numFmtId="0" fontId="5" fillId="12" borderId="1" xfId="5" applyFont="1" applyFill="1" applyBorder="1" applyAlignment="1" applyProtection="1">
      <alignment horizontal="center" vertical="center" wrapText="1"/>
    </xf>
    <xf numFmtId="0" fontId="5" fillId="12" borderId="4" xfId="5" applyFont="1" applyFill="1" applyBorder="1" applyAlignment="1" applyProtection="1">
      <alignment horizontal="center" vertical="center"/>
    </xf>
    <xf numFmtId="177" fontId="5" fillId="12" borderId="4" xfId="5" applyNumberFormat="1" applyFont="1" applyFill="1" applyBorder="1" applyAlignment="1" applyProtection="1">
      <alignment horizontal="center" vertical="center" wrapText="1"/>
    </xf>
    <xf numFmtId="0" fontId="1" fillId="12" borderId="4" xfId="5" applyFill="1" applyBorder="1" applyAlignment="1" applyProtection="1">
      <alignment horizontal="center" vertical="center"/>
    </xf>
    <xf numFmtId="0" fontId="5" fillId="12" borderId="4" xfId="5" applyNumberFormat="1" applyFont="1" applyFill="1" applyBorder="1" applyAlignment="1" applyProtection="1">
      <alignment horizontal="center" vertical="center" wrapText="1"/>
    </xf>
    <xf numFmtId="49" fontId="5" fillId="12" borderId="4" xfId="5" applyNumberFormat="1" applyFont="1" applyFill="1" applyBorder="1" applyAlignment="1" applyProtection="1">
      <alignment horizontal="center" vertical="center" wrapText="1"/>
    </xf>
    <xf numFmtId="38" fontId="5" fillId="12" borderId="4" xfId="1" applyFont="1" applyFill="1" applyBorder="1" applyAlignment="1" applyProtection="1">
      <alignment horizontal="center" vertical="center" wrapText="1"/>
    </xf>
    <xf numFmtId="179" fontId="5" fillId="12" borderId="4" xfId="5" applyNumberFormat="1" applyFont="1" applyFill="1" applyBorder="1" applyAlignment="1" applyProtection="1">
      <alignment horizontal="center" vertical="center" wrapText="1"/>
    </xf>
    <xf numFmtId="0" fontId="0" fillId="12" borderId="1" xfId="5" applyFont="1" applyFill="1" applyBorder="1" applyAlignment="1" applyProtection="1">
      <alignment vertical="center" wrapText="1"/>
    </xf>
    <xf numFmtId="0" fontId="5" fillId="13" borderId="1" xfId="5" quotePrefix="1" applyFont="1" applyFill="1" applyBorder="1" applyAlignment="1" applyProtection="1">
      <alignment horizontal="center" vertical="center"/>
    </xf>
    <xf numFmtId="0" fontId="0" fillId="13" borderId="1" xfId="5" applyFont="1" applyFill="1" applyBorder="1" applyAlignment="1" applyProtection="1">
      <alignment horizontal="center" vertical="center"/>
    </xf>
    <xf numFmtId="0" fontId="5" fillId="13" borderId="1" xfId="5" applyFont="1" applyFill="1" applyBorder="1" applyAlignment="1" applyProtection="1">
      <alignment horizontal="center" vertical="center"/>
    </xf>
    <xf numFmtId="0" fontId="0" fillId="13" borderId="2" xfId="5" applyFont="1" applyFill="1" applyBorder="1" applyAlignment="1" applyProtection="1">
      <alignment vertical="center"/>
    </xf>
    <xf numFmtId="0" fontId="5" fillId="13" borderId="2" xfId="5" applyFont="1" applyFill="1" applyBorder="1" applyAlignment="1" applyProtection="1">
      <alignment vertical="center"/>
    </xf>
    <xf numFmtId="177" fontId="5" fillId="13" borderId="4" xfId="5" applyNumberFormat="1" applyFont="1" applyFill="1" applyBorder="1" applyAlignment="1" applyProtection="1">
      <alignment horizontal="center" vertical="center" wrapText="1"/>
    </xf>
    <xf numFmtId="0" fontId="5" fillId="13" borderId="1" xfId="5" applyFont="1" applyFill="1" applyBorder="1" applyAlignment="1" applyProtection="1">
      <alignment vertical="center" wrapText="1"/>
    </xf>
    <xf numFmtId="0" fontId="5" fillId="13" borderId="4" xfId="5" applyFont="1" applyFill="1" applyBorder="1" applyAlignment="1" applyProtection="1">
      <alignment horizontal="center" vertical="center" wrapText="1"/>
    </xf>
    <xf numFmtId="0" fontId="5" fillId="13" borderId="1" xfId="5" applyFont="1" applyFill="1" applyBorder="1" applyAlignment="1" applyProtection="1">
      <alignment horizontal="center" vertical="center" wrapText="1"/>
    </xf>
    <xf numFmtId="0" fontId="5" fillId="13" borderId="4" xfId="5" applyFont="1" applyFill="1" applyBorder="1" applyAlignment="1" applyProtection="1">
      <alignment horizontal="center" vertical="center"/>
    </xf>
    <xf numFmtId="0" fontId="1" fillId="13" borderId="4" xfId="5" applyFill="1" applyBorder="1" applyAlignment="1" applyProtection="1">
      <alignment horizontal="center" vertical="center"/>
    </xf>
    <xf numFmtId="0" fontId="5" fillId="13" borderId="4" xfId="5" applyNumberFormat="1" applyFont="1" applyFill="1" applyBorder="1" applyAlignment="1" applyProtection="1">
      <alignment horizontal="center" vertical="center" wrapText="1"/>
    </xf>
    <xf numFmtId="49" fontId="5" fillId="13" borderId="4" xfId="5" applyNumberFormat="1" applyFont="1" applyFill="1" applyBorder="1" applyAlignment="1" applyProtection="1">
      <alignment horizontal="center" vertical="center" wrapText="1"/>
    </xf>
    <xf numFmtId="38" fontId="5" fillId="13" borderId="4" xfId="1" applyFont="1" applyFill="1" applyBorder="1" applyAlignment="1" applyProtection="1">
      <alignment horizontal="center" vertical="center" wrapText="1"/>
    </xf>
    <xf numFmtId="179" fontId="5" fillId="13" borderId="4" xfId="5" applyNumberFormat="1" applyFont="1" applyFill="1" applyBorder="1" applyAlignment="1" applyProtection="1">
      <alignment horizontal="center" vertical="center" wrapText="1"/>
    </xf>
    <xf numFmtId="0" fontId="0" fillId="13" borderId="1" xfId="5" applyFont="1" applyFill="1" applyBorder="1" applyAlignment="1" applyProtection="1">
      <alignment vertical="center" wrapText="1"/>
    </xf>
    <xf numFmtId="0" fontId="5" fillId="14" borderId="1" xfId="5" quotePrefix="1" applyFont="1" applyFill="1" applyBorder="1" applyAlignment="1" applyProtection="1">
      <alignment horizontal="center" vertical="center"/>
    </xf>
    <xf numFmtId="0" fontId="0" fillId="14" borderId="1" xfId="5" applyFont="1" applyFill="1" applyBorder="1" applyAlignment="1" applyProtection="1">
      <alignment horizontal="center" vertical="center"/>
    </xf>
    <xf numFmtId="177" fontId="5" fillId="14" borderId="4" xfId="5" applyNumberFormat="1" applyFont="1" applyFill="1" applyBorder="1" applyAlignment="1" applyProtection="1">
      <alignment horizontal="center" vertical="center" wrapText="1"/>
    </xf>
    <xf numFmtId="0" fontId="5" fillId="14" borderId="1" xfId="5" applyFont="1" applyFill="1" applyBorder="1" applyAlignment="1" applyProtection="1">
      <alignment vertical="center" wrapText="1"/>
    </xf>
    <xf numFmtId="0" fontId="5" fillId="15" borderId="1" xfId="5" quotePrefix="1" applyFont="1" applyFill="1" applyBorder="1" applyAlignment="1" applyProtection="1">
      <alignment horizontal="center" vertical="center"/>
    </xf>
    <xf numFmtId="0" fontId="0" fillId="15" borderId="1" xfId="5" applyFont="1" applyFill="1" applyBorder="1" applyAlignment="1" applyProtection="1">
      <alignment horizontal="center" vertical="center"/>
    </xf>
    <xf numFmtId="0" fontId="0" fillId="15" borderId="2" xfId="5" applyFont="1" applyFill="1" applyBorder="1" applyAlignment="1" applyProtection="1">
      <alignment vertical="center"/>
    </xf>
    <xf numFmtId="0" fontId="5" fillId="15" borderId="1" xfId="5" applyFont="1" applyFill="1" applyBorder="1" applyAlignment="1" applyProtection="1">
      <alignment horizontal="center" vertical="center"/>
    </xf>
    <xf numFmtId="0" fontId="5" fillId="15" borderId="2" xfId="5" applyFont="1" applyFill="1" applyBorder="1" applyAlignment="1" applyProtection="1">
      <alignment vertical="center"/>
    </xf>
    <xf numFmtId="177" fontId="5" fillId="15" borderId="4" xfId="5" applyNumberFormat="1" applyFont="1" applyFill="1" applyBorder="1" applyAlignment="1" applyProtection="1">
      <alignment horizontal="center" vertical="center" wrapText="1"/>
    </xf>
    <xf numFmtId="0" fontId="5" fillId="15" borderId="1" xfId="5" applyFont="1" applyFill="1" applyBorder="1" applyAlignment="1" applyProtection="1">
      <alignment vertical="center" wrapText="1"/>
    </xf>
    <xf numFmtId="0" fontId="5" fillId="15" borderId="4" xfId="5" applyFont="1" applyFill="1" applyBorder="1" applyAlignment="1" applyProtection="1">
      <alignment horizontal="center" vertical="center" wrapText="1"/>
    </xf>
    <xf numFmtId="0" fontId="5" fillId="15" borderId="1" xfId="5" applyFont="1" applyFill="1" applyBorder="1" applyAlignment="1" applyProtection="1">
      <alignment horizontal="center" vertical="center" wrapText="1"/>
    </xf>
    <xf numFmtId="0" fontId="5" fillId="15" borderId="4" xfId="5" applyFont="1" applyFill="1" applyBorder="1" applyAlignment="1" applyProtection="1">
      <alignment horizontal="center" vertical="center"/>
    </xf>
    <xf numFmtId="0" fontId="1" fillId="15" borderId="4" xfId="5" applyFill="1" applyBorder="1" applyAlignment="1" applyProtection="1">
      <alignment horizontal="center" vertical="center"/>
    </xf>
    <xf numFmtId="0" fontId="5" fillId="15" borderId="4" xfId="5" applyNumberFormat="1" applyFont="1" applyFill="1" applyBorder="1" applyAlignment="1" applyProtection="1">
      <alignment horizontal="center" vertical="center" wrapText="1"/>
    </xf>
    <xf numFmtId="49" fontId="5" fillId="15" borderId="4" xfId="5" applyNumberFormat="1" applyFont="1" applyFill="1" applyBorder="1" applyAlignment="1" applyProtection="1">
      <alignment horizontal="center" vertical="center" wrapText="1"/>
    </xf>
    <xf numFmtId="38" fontId="5" fillId="15" borderId="4" xfId="1" applyFont="1" applyFill="1" applyBorder="1" applyAlignment="1" applyProtection="1">
      <alignment horizontal="center" vertical="center" wrapText="1"/>
    </xf>
    <xf numFmtId="179" fontId="5" fillId="15" borderId="4" xfId="5" applyNumberFormat="1" applyFont="1" applyFill="1" applyBorder="1" applyAlignment="1" applyProtection="1">
      <alignment horizontal="center" vertical="center" wrapText="1"/>
    </xf>
    <xf numFmtId="0" fontId="0" fillId="15" borderId="1" xfId="5" applyFont="1" applyFill="1" applyBorder="1" applyAlignment="1" applyProtection="1">
      <alignment vertical="center" wrapText="1"/>
    </xf>
    <xf numFmtId="0" fontId="0" fillId="7" borderId="1" xfId="5" applyFont="1" applyFill="1" applyBorder="1" applyAlignment="1" applyProtection="1">
      <alignment horizontal="center" vertical="center"/>
    </xf>
    <xf numFmtId="0" fontId="0" fillId="14" borderId="2" xfId="5" applyFont="1" applyFill="1" applyBorder="1" applyAlignment="1" applyProtection="1">
      <alignment vertical="center"/>
    </xf>
    <xf numFmtId="0" fontId="5" fillId="14" borderId="1" xfId="5" applyFont="1" applyFill="1" applyBorder="1" applyAlignment="1" applyProtection="1">
      <alignment horizontal="center" vertical="center"/>
    </xf>
    <xf numFmtId="0" fontId="5" fillId="14" borderId="2" xfId="5" applyFont="1" applyFill="1" applyBorder="1" applyAlignment="1" applyProtection="1">
      <alignment vertical="center"/>
    </xf>
    <xf numFmtId="0" fontId="5" fillId="14" borderId="4" xfId="5" applyFont="1" applyFill="1" applyBorder="1" applyAlignment="1" applyProtection="1">
      <alignment horizontal="center" vertical="center" wrapText="1"/>
    </xf>
    <xf numFmtId="0" fontId="5" fillId="14" borderId="1" xfId="5" applyFont="1" applyFill="1" applyBorder="1" applyAlignment="1" applyProtection="1">
      <alignment horizontal="center" vertical="center" wrapText="1"/>
    </xf>
    <xf numFmtId="0" fontId="5" fillId="14" borderId="4" xfId="5" applyFont="1" applyFill="1" applyBorder="1" applyAlignment="1" applyProtection="1">
      <alignment horizontal="center" vertical="center"/>
    </xf>
    <xf numFmtId="0" fontId="1" fillId="14" borderId="4" xfId="5" applyFill="1" applyBorder="1" applyAlignment="1" applyProtection="1">
      <alignment horizontal="center" vertical="center"/>
    </xf>
    <xf numFmtId="0" fontId="5" fillId="14" borderId="4" xfId="5" applyNumberFormat="1" applyFont="1" applyFill="1" applyBorder="1" applyAlignment="1" applyProtection="1">
      <alignment horizontal="center" vertical="center" wrapText="1"/>
    </xf>
    <xf numFmtId="49" fontId="5" fillId="14" borderId="4" xfId="5" applyNumberFormat="1" applyFont="1" applyFill="1" applyBorder="1" applyAlignment="1" applyProtection="1">
      <alignment horizontal="center" vertical="center" wrapText="1"/>
    </xf>
    <xf numFmtId="38" fontId="5" fillId="14" borderId="4" xfId="1" applyFont="1" applyFill="1" applyBorder="1" applyAlignment="1" applyProtection="1">
      <alignment horizontal="center" vertical="center" wrapText="1"/>
    </xf>
    <xf numFmtId="179" fontId="5" fillId="14" borderId="4" xfId="5" applyNumberFormat="1" applyFont="1" applyFill="1" applyBorder="1" applyAlignment="1" applyProtection="1">
      <alignment horizontal="center" vertical="center" wrapText="1"/>
    </xf>
    <xf numFmtId="0" fontId="0" fillId="14" borderId="1" xfId="5" applyFont="1" applyFill="1" applyBorder="1" applyAlignment="1" applyProtection="1">
      <alignment vertical="center" wrapText="1"/>
    </xf>
    <xf numFmtId="0" fontId="0" fillId="11" borderId="1" xfId="5" applyFont="1" applyFill="1" applyBorder="1" applyAlignment="1" applyProtection="1">
      <alignment horizontal="center" vertical="center" wrapText="1"/>
    </xf>
    <xf numFmtId="0" fontId="0" fillId="12" borderId="1" xfId="5" applyFont="1" applyFill="1" applyBorder="1" applyAlignment="1" applyProtection="1">
      <alignment horizontal="center" vertical="center" wrapText="1"/>
    </xf>
    <xf numFmtId="177" fontId="0" fillId="12" borderId="4" xfId="5" applyNumberFormat="1" applyFont="1" applyFill="1" applyBorder="1" applyAlignment="1" applyProtection="1">
      <alignment horizontal="center" vertical="center" wrapText="1"/>
    </xf>
    <xf numFmtId="0" fontId="0" fillId="13" borderId="1" xfId="5" applyFont="1" applyFill="1" applyBorder="1" applyAlignment="1" applyProtection="1">
      <alignment horizontal="center" vertical="center" wrapText="1"/>
    </xf>
    <xf numFmtId="0" fontId="0" fillId="15" borderId="1" xfId="5" applyFont="1" applyFill="1" applyBorder="1" applyAlignment="1" applyProtection="1">
      <alignment horizontal="center" vertical="center" wrapText="1"/>
    </xf>
    <xf numFmtId="0" fontId="0" fillId="7" borderId="1" xfId="5" applyFont="1" applyFill="1" applyBorder="1" applyAlignment="1" applyProtection="1">
      <alignment horizontal="center" vertical="center" wrapText="1"/>
    </xf>
    <xf numFmtId="0" fontId="0" fillId="14" borderId="1" xfId="5" applyFont="1" applyFill="1" applyBorder="1" applyAlignment="1" applyProtection="1">
      <alignment horizontal="center" vertical="center" wrapText="1"/>
    </xf>
    <xf numFmtId="177" fontId="0" fillId="14" borderId="4" xfId="5" applyNumberFormat="1" applyFont="1" applyFill="1" applyBorder="1" applyAlignment="1" applyProtection="1">
      <alignment horizontal="center" vertical="center" wrapText="1"/>
    </xf>
    <xf numFmtId="0" fontId="0" fillId="4" borderId="1" xfId="5" applyFont="1" applyFill="1" applyBorder="1" applyAlignment="1" applyProtection="1">
      <alignment horizontal="center" vertical="center" wrapText="1"/>
    </xf>
    <xf numFmtId="177" fontId="0" fillId="4" borderId="4" xfId="5" applyNumberFormat="1" applyFont="1" applyFill="1" applyBorder="1" applyAlignment="1" applyProtection="1">
      <alignment horizontal="center" vertical="center" wrapText="1"/>
    </xf>
    <xf numFmtId="0" fontId="0" fillId="9" borderId="1" xfId="5" applyFont="1" applyFill="1" applyBorder="1" applyAlignment="1" applyProtection="1">
      <alignment horizontal="center" vertical="center" wrapText="1"/>
    </xf>
    <xf numFmtId="177" fontId="0" fillId="9" borderId="4" xfId="5" applyNumberFormat="1" applyFont="1" applyFill="1" applyBorder="1" applyAlignment="1" applyProtection="1">
      <alignment horizontal="center" vertical="center" wrapText="1"/>
    </xf>
    <xf numFmtId="0" fontId="0" fillId="8" borderId="1" xfId="5" applyFont="1" applyFill="1" applyBorder="1" applyAlignment="1" applyProtection="1">
      <alignment horizontal="center" vertical="center" wrapText="1"/>
    </xf>
    <xf numFmtId="0" fontId="0" fillId="10" borderId="1" xfId="5" applyFont="1" applyFill="1" applyBorder="1" applyAlignment="1" applyProtection="1">
      <alignment horizontal="center" vertical="center" wrapText="1"/>
    </xf>
    <xf numFmtId="177" fontId="0" fillId="7" borderId="4" xfId="5" applyNumberFormat="1" applyFont="1" applyFill="1" applyBorder="1" applyAlignment="1" applyProtection="1">
      <alignment horizontal="center" vertical="center" wrapText="1"/>
    </xf>
    <xf numFmtId="177" fontId="0" fillId="13" borderId="4" xfId="5" applyNumberFormat="1" applyFont="1" applyFill="1" applyBorder="1" applyAlignment="1" applyProtection="1">
      <alignment horizontal="center" vertical="center" wrapText="1"/>
    </xf>
    <xf numFmtId="177" fontId="0" fillId="15" borderId="4" xfId="5" applyNumberFormat="1" applyFont="1" applyFill="1" applyBorder="1" applyAlignment="1" applyProtection="1">
      <alignment horizontal="center" vertical="center" wrapText="1"/>
    </xf>
    <xf numFmtId="0" fontId="25" fillId="0" borderId="0" xfId="0" applyFont="1" applyAlignment="1">
      <alignment vertical="center" wrapText="1"/>
    </xf>
    <xf numFmtId="0" fontId="26" fillId="0" borderId="1" xfId="0" applyFont="1" applyBorder="1" applyAlignment="1">
      <alignment horizontal="justify" vertical="center" wrapText="1"/>
    </xf>
    <xf numFmtId="0" fontId="26" fillId="0" borderId="1" xfId="0" applyFont="1" applyBorder="1" applyAlignment="1">
      <alignment horizontal="justify" vertical="center"/>
    </xf>
    <xf numFmtId="0" fontId="26" fillId="0" borderId="1" xfId="0" applyFont="1" applyBorder="1" applyAlignment="1">
      <alignment horizontal="center" vertical="center"/>
    </xf>
    <xf numFmtId="0" fontId="0" fillId="4" borderId="1" xfId="5" applyFont="1" applyFill="1" applyBorder="1" applyAlignment="1" applyProtection="1">
      <alignment vertical="center" wrapText="1"/>
    </xf>
    <xf numFmtId="0" fontId="27" fillId="0" borderId="0" xfId="0" applyFont="1" applyAlignment="1">
      <alignment horizontal="justify" vertical="center" wrapText="1"/>
    </xf>
    <xf numFmtId="0" fontId="0" fillId="0" borderId="0" xfId="0" applyAlignment="1">
      <alignment vertical="center" wrapText="1"/>
    </xf>
    <xf numFmtId="0" fontId="26" fillId="0" borderId="0" xfId="0" applyFont="1" applyAlignment="1">
      <alignment horizontal="justify" vertical="center" wrapText="1"/>
    </xf>
    <xf numFmtId="0" fontId="26" fillId="0" borderId="2" xfId="0" applyFont="1" applyBorder="1" applyAlignment="1">
      <alignment horizontal="center" vertical="center"/>
    </xf>
    <xf numFmtId="0" fontId="0" fillId="0" borderId="4" xfId="0" applyBorder="1" applyAlignment="1">
      <alignment horizontal="center" vertical="center"/>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30" xfId="0" applyFont="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5" borderId="1" xfId="5" applyFont="1" applyFill="1" applyBorder="1" applyAlignment="1" applyProtection="1">
      <alignment vertical="center" wrapText="1"/>
    </xf>
    <xf numFmtId="0" fontId="5" fillId="5" borderId="1" xfId="5" applyFont="1" applyFill="1" applyBorder="1" applyAlignment="1" applyProtection="1">
      <alignment vertical="center"/>
    </xf>
    <xf numFmtId="0" fontId="0" fillId="4" borderId="1" xfId="5" applyFont="1" applyFill="1" applyBorder="1" applyAlignment="1" applyProtection="1">
      <alignment vertical="center" wrapText="1"/>
    </xf>
    <xf numFmtId="0" fontId="5" fillId="4" borderId="1" xfId="5" applyFont="1" applyFill="1" applyBorder="1" applyAlignment="1" applyProtection="1">
      <alignment vertical="center"/>
    </xf>
    <xf numFmtId="0" fontId="0" fillId="5" borderId="1" xfId="5" applyFont="1" applyFill="1" applyBorder="1" applyAlignment="1" applyProtection="1">
      <alignment vertical="center"/>
    </xf>
    <xf numFmtId="0" fontId="1" fillId="5" borderId="2" xfId="5" applyFill="1" applyBorder="1" applyAlignment="1" applyProtection="1">
      <alignment vertical="center"/>
    </xf>
    <xf numFmtId="0" fontId="1" fillId="4" borderId="2" xfId="5" applyFill="1" applyBorder="1" applyAlignment="1" applyProtection="1">
      <alignment vertical="center"/>
    </xf>
    <xf numFmtId="0" fontId="0" fillId="4" borderId="1" xfId="5" applyFont="1" applyFill="1" applyBorder="1" applyAlignment="1" applyProtection="1">
      <alignment vertical="center"/>
    </xf>
    <xf numFmtId="0" fontId="5" fillId="5" borderId="5" xfId="5" applyFont="1" applyFill="1" applyBorder="1" applyAlignment="1" applyProtection="1">
      <alignment vertical="center"/>
    </xf>
    <xf numFmtId="0" fontId="5" fillId="5" borderId="6" xfId="5" applyFont="1" applyFill="1" applyBorder="1" applyAlignment="1" applyProtection="1">
      <alignment vertical="center"/>
    </xf>
    <xf numFmtId="0" fontId="5" fillId="5" borderId="7" xfId="5" applyFont="1" applyFill="1" applyBorder="1" applyAlignment="1" applyProtection="1">
      <alignment vertical="center"/>
    </xf>
    <xf numFmtId="0" fontId="5" fillId="9" borderId="1" xfId="5" applyFont="1" applyFill="1" applyBorder="1" applyAlignment="1" applyProtection="1">
      <alignment vertical="center"/>
    </xf>
    <xf numFmtId="0" fontId="1" fillId="9" borderId="2" xfId="5" applyFill="1" applyBorder="1" applyAlignment="1" applyProtection="1">
      <alignment vertical="center"/>
    </xf>
    <xf numFmtId="0" fontId="0" fillId="9" borderId="1" xfId="5" applyFont="1" applyFill="1" applyBorder="1" applyAlignment="1" applyProtection="1">
      <alignment vertical="center" wrapText="1"/>
    </xf>
    <xf numFmtId="0" fontId="0" fillId="9" borderId="1" xfId="5" applyFont="1" applyFill="1" applyBorder="1" applyAlignment="1" applyProtection="1">
      <alignment vertical="center"/>
    </xf>
    <xf numFmtId="0" fontId="13" fillId="3" borderId="1" xfId="5" applyFont="1" applyFill="1" applyBorder="1" applyAlignment="1" applyProtection="1">
      <alignment horizontal="center" vertical="center" wrapText="1"/>
    </xf>
    <xf numFmtId="0" fontId="1" fillId="0" borderId="2" xfId="5" applyBorder="1" applyAlignment="1" applyProtection="1">
      <alignment horizontal="center" vertical="center" wrapText="1"/>
    </xf>
    <xf numFmtId="0" fontId="5" fillId="6" borderId="1" xfId="5" applyFont="1" applyFill="1" applyBorder="1" applyAlignment="1" applyProtection="1">
      <alignment vertical="center"/>
    </xf>
    <xf numFmtId="0" fontId="1" fillId="6" borderId="2" xfId="5" applyFill="1" applyBorder="1" applyAlignment="1" applyProtection="1">
      <alignment vertical="center"/>
    </xf>
    <xf numFmtId="0" fontId="0" fillId="6" borderId="1" xfId="5" applyFont="1" applyFill="1" applyBorder="1" applyAlignment="1" applyProtection="1">
      <alignment vertical="center" wrapText="1"/>
    </xf>
    <xf numFmtId="0" fontId="5" fillId="6" borderId="2" xfId="5" applyFont="1" applyFill="1" applyBorder="1" applyAlignment="1" applyProtection="1">
      <alignment vertical="center"/>
    </xf>
    <xf numFmtId="0" fontId="0" fillId="6" borderId="2" xfId="5" applyFont="1" applyFill="1" applyBorder="1" applyAlignment="1" applyProtection="1">
      <alignment vertical="center" wrapText="1"/>
    </xf>
    <xf numFmtId="0" fontId="5" fillId="6" borderId="10" xfId="5" applyFont="1" applyFill="1" applyBorder="1" applyAlignment="1" applyProtection="1">
      <alignment vertical="center" wrapText="1"/>
    </xf>
    <xf numFmtId="0" fontId="5" fillId="8" borderId="1" xfId="5" applyFont="1" applyFill="1" applyBorder="1" applyAlignment="1" applyProtection="1">
      <alignment vertical="center"/>
    </xf>
    <xf numFmtId="0" fontId="1" fillId="8" borderId="2" xfId="5" applyFill="1" applyBorder="1" applyAlignment="1" applyProtection="1">
      <alignment vertical="center"/>
    </xf>
    <xf numFmtId="0" fontId="0" fillId="8" borderId="1" xfId="5" applyFont="1" applyFill="1" applyBorder="1" applyAlignment="1" applyProtection="1">
      <alignment vertical="center" wrapText="1"/>
    </xf>
    <xf numFmtId="0" fontId="0" fillId="8" borderId="1" xfId="5" applyFont="1" applyFill="1" applyBorder="1" applyAlignment="1" applyProtection="1">
      <alignment vertical="center"/>
    </xf>
    <xf numFmtId="0" fontId="0" fillId="10" borderId="1" xfId="5" applyFont="1" applyFill="1" applyBorder="1" applyAlignment="1" applyProtection="1">
      <alignment vertical="center" wrapText="1"/>
    </xf>
    <xf numFmtId="0" fontId="5" fillId="10" borderId="1" xfId="5" applyFont="1" applyFill="1" applyBorder="1" applyAlignment="1" applyProtection="1">
      <alignment vertical="center"/>
    </xf>
    <xf numFmtId="0" fontId="1" fillId="10" borderId="2" xfId="5" applyFill="1" applyBorder="1" applyAlignment="1" applyProtection="1">
      <alignment vertical="center"/>
    </xf>
    <xf numFmtId="0" fontId="0" fillId="10" borderId="1" xfId="5" applyFont="1" applyFill="1" applyBorder="1" applyAlignment="1" applyProtection="1">
      <alignment vertical="center"/>
    </xf>
    <xf numFmtId="0" fontId="5" fillId="11" borderId="1" xfId="5" applyFont="1" applyFill="1" applyBorder="1" applyAlignment="1" applyProtection="1">
      <alignment vertical="center"/>
    </xf>
    <xf numFmtId="0" fontId="1" fillId="11" borderId="2" xfId="5" applyFill="1" applyBorder="1" applyAlignment="1" applyProtection="1">
      <alignment vertical="center"/>
    </xf>
    <xf numFmtId="0" fontId="0" fillId="11" borderId="1" xfId="5" applyFont="1" applyFill="1" applyBorder="1" applyAlignment="1" applyProtection="1">
      <alignment vertical="center" wrapText="1"/>
    </xf>
    <xf numFmtId="0" fontId="0" fillId="11" borderId="1" xfId="5" applyFont="1" applyFill="1" applyBorder="1" applyAlignment="1" applyProtection="1">
      <alignment vertical="center"/>
    </xf>
    <xf numFmtId="0" fontId="0" fillId="12" borderId="1" xfId="5" applyFont="1" applyFill="1" applyBorder="1" applyAlignment="1" applyProtection="1">
      <alignment vertical="center"/>
    </xf>
    <xf numFmtId="0" fontId="1" fillId="12" borderId="2" xfId="5" applyFill="1" applyBorder="1" applyAlignment="1" applyProtection="1">
      <alignment vertical="center"/>
    </xf>
    <xf numFmtId="0" fontId="5" fillId="12" borderId="1" xfId="5" applyFont="1" applyFill="1" applyBorder="1" applyAlignment="1" applyProtection="1">
      <alignment vertical="center"/>
    </xf>
    <xf numFmtId="0" fontId="0" fillId="12" borderId="1" xfId="5" applyFont="1" applyFill="1" applyBorder="1" applyAlignment="1" applyProtection="1">
      <alignment vertical="center" wrapText="1"/>
    </xf>
    <xf numFmtId="0" fontId="5" fillId="13" borderId="1" xfId="5" applyFont="1" applyFill="1" applyBorder="1" applyAlignment="1" applyProtection="1">
      <alignment vertical="center"/>
    </xf>
    <xf numFmtId="0" fontId="1" fillId="13" borderId="2" xfId="5" applyFill="1" applyBorder="1" applyAlignment="1" applyProtection="1">
      <alignment vertical="center"/>
    </xf>
    <xf numFmtId="0" fontId="0" fillId="13" borderId="1" xfId="5" applyFont="1" applyFill="1" applyBorder="1" applyAlignment="1" applyProtection="1">
      <alignment vertical="center" wrapText="1"/>
    </xf>
    <xf numFmtId="0" fontId="0" fillId="13" borderId="1" xfId="5" applyFont="1" applyFill="1" applyBorder="1" applyAlignment="1" applyProtection="1">
      <alignment vertical="center"/>
    </xf>
    <xf numFmtId="0" fontId="5" fillId="15" borderId="1" xfId="5" applyFont="1" applyFill="1" applyBorder="1" applyAlignment="1" applyProtection="1">
      <alignment vertical="center"/>
    </xf>
    <xf numFmtId="0" fontId="1" fillId="15" borderId="2" xfId="5" applyFill="1" applyBorder="1" applyAlignment="1" applyProtection="1">
      <alignment vertical="center"/>
    </xf>
    <xf numFmtId="0" fontId="0" fillId="15" borderId="1" xfId="5" applyFont="1" applyFill="1" applyBorder="1" applyAlignment="1" applyProtection="1">
      <alignment vertical="center" wrapText="1"/>
    </xf>
    <xf numFmtId="0" fontId="0" fillId="15" borderId="1" xfId="5" applyFont="1" applyFill="1" applyBorder="1" applyAlignment="1" applyProtection="1">
      <alignment vertical="center"/>
    </xf>
    <xf numFmtId="0" fontId="0" fillId="7" borderId="1" xfId="5" applyFont="1" applyFill="1" applyBorder="1" applyAlignment="1" applyProtection="1">
      <alignment vertical="center" wrapText="1"/>
    </xf>
    <xf numFmtId="0" fontId="5" fillId="7" borderId="1" xfId="5" applyFont="1" applyFill="1" applyBorder="1" applyAlignment="1" applyProtection="1">
      <alignment vertical="center"/>
    </xf>
    <xf numFmtId="0" fontId="1" fillId="7" borderId="2" xfId="5" applyFill="1" applyBorder="1" applyAlignment="1" applyProtection="1">
      <alignment vertical="center"/>
    </xf>
    <xf numFmtId="0" fontId="0" fillId="7" borderId="1" xfId="5" applyFont="1" applyFill="1" applyBorder="1" applyAlignment="1" applyProtection="1">
      <alignment vertical="center"/>
    </xf>
    <xf numFmtId="0" fontId="5" fillId="14" borderId="1" xfId="5" applyFont="1" applyFill="1" applyBorder="1" applyAlignment="1" applyProtection="1">
      <alignment vertical="center"/>
    </xf>
    <xf numFmtId="0" fontId="1" fillId="14" borderId="2" xfId="5" applyFill="1" applyBorder="1" applyAlignment="1" applyProtection="1">
      <alignment vertical="center"/>
    </xf>
    <xf numFmtId="0" fontId="0" fillId="14" borderId="1" xfId="5" applyFont="1" applyFill="1" applyBorder="1" applyAlignment="1" applyProtection="1">
      <alignment vertical="center" wrapText="1"/>
    </xf>
    <xf numFmtId="0" fontId="0" fillId="14" borderId="1" xfId="5" applyFont="1" applyFill="1" applyBorder="1" applyAlignment="1" applyProtection="1">
      <alignment vertical="center"/>
    </xf>
    <xf numFmtId="49" fontId="18" fillId="0" borderId="0" xfId="6" applyNumberFormat="1" applyFont="1" applyAlignment="1">
      <alignment horizontal="left" vertical="top" wrapText="1"/>
    </xf>
    <xf numFmtId="0" fontId="20" fillId="0" borderId="0" xfId="0" applyFont="1" applyAlignment="1">
      <alignment vertical="top" wrapText="1"/>
    </xf>
    <xf numFmtId="38" fontId="8" fillId="2" borderId="0" xfId="1" applyFont="1" applyFill="1" applyAlignment="1">
      <alignment horizontal="center" vertical="center"/>
    </xf>
    <xf numFmtId="0" fontId="19" fillId="0" borderId="0" xfId="6" applyFont="1" applyAlignment="1">
      <alignment horizontal="center"/>
    </xf>
    <xf numFmtId="38" fontId="6" fillId="0" borderId="2" xfId="1" applyFont="1" applyBorder="1" applyAlignment="1">
      <alignment horizontal="left" vertical="center"/>
    </xf>
    <xf numFmtId="38" fontId="6" fillId="0" borderId="4" xfId="1" applyFont="1" applyBorder="1" applyAlignment="1">
      <alignment horizontal="left" vertical="center"/>
    </xf>
    <xf numFmtId="38" fontId="6" fillId="0" borderId="2" xfId="1" applyFont="1" applyFill="1" applyBorder="1" applyAlignment="1">
      <alignment horizontal="left" vertical="center"/>
    </xf>
    <xf numFmtId="38" fontId="6" fillId="0" borderId="4" xfId="1" applyFont="1" applyFill="1" applyBorder="1" applyAlignment="1">
      <alignment horizontal="left" vertical="center"/>
    </xf>
    <xf numFmtId="38" fontId="6" fillId="0" borderId="3" xfId="1" applyFont="1" applyBorder="1" applyAlignment="1">
      <alignment horizontal="right" vertical="center"/>
    </xf>
    <xf numFmtId="38" fontId="6" fillId="0" borderId="0" xfId="1" applyFont="1" applyAlignment="1">
      <alignment horizontal="left" vertical="center"/>
    </xf>
    <xf numFmtId="38" fontId="8" fillId="2" borderId="0" xfId="1" applyFont="1" applyFill="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center"/>
    </xf>
  </cellXfs>
  <cellStyles count="8">
    <cellStyle name="ハイパーリンク" xfId="4" builtinId="8"/>
    <cellStyle name="桁区切り" xfId="1" builtinId="6"/>
    <cellStyle name="桁区切り 2" xfId="3"/>
    <cellStyle name="桁区切り 3" xfId="7"/>
    <cellStyle name="標準" xfId="0" builtinId="0"/>
    <cellStyle name="標準 2" xfId="2"/>
    <cellStyle name="標準 3" xfId="5"/>
    <cellStyle name="標準 4" xfId="6"/>
  </cellStyles>
  <dxfs count="0"/>
  <tableStyles count="0" defaultTableStyle="TableStyleMedium9" defaultPivotStyle="PivotStyleLight16"/>
  <colors>
    <mruColors>
      <color rgb="FFFFFF99"/>
      <color rgb="FFFFFF66"/>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3911556</xdr:colOff>
      <xdr:row>0</xdr:row>
      <xdr:rowOff>37819</xdr:rowOff>
    </xdr:from>
    <xdr:ext cx="714375" cy="359073"/>
    <xdr:sp macro="" textlink="">
      <xdr:nvSpPr>
        <xdr:cNvPr id="2" name="テキスト ボックス 1"/>
        <xdr:cNvSpPr txBox="1"/>
      </xdr:nvSpPr>
      <xdr:spPr>
        <a:xfrm>
          <a:off x="19842119" y="37819"/>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0" i="0">
              <a:latin typeface="ＭＳ Ｐゴシック" panose="020B0600070205080204" pitchFamily="50" charset="-128"/>
              <a:ea typeface="ＭＳ Ｐゴシック" panose="020B0600070205080204" pitchFamily="50" charset="-128"/>
            </a:rPr>
            <a:t>様式</a:t>
          </a:r>
          <a:r>
            <a:rPr kumimoji="1" lang="en-US" altLang="ja-JP" sz="1600" b="0" i="0">
              <a:latin typeface="ＭＳ Ｐゴシック" panose="020B0600070205080204" pitchFamily="50" charset="-128"/>
              <a:ea typeface="ＭＳ Ｐゴシック" panose="020B0600070205080204" pitchFamily="50" charset="-128"/>
            </a:rPr>
            <a:t>2</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4</xdr:col>
      <xdr:colOff>723900</xdr:colOff>
      <xdr:row>0</xdr:row>
      <xdr:rowOff>19050</xdr:rowOff>
    </xdr:from>
    <xdr:ext cx="714375" cy="359073"/>
    <xdr:sp macro="" textlink="">
      <xdr:nvSpPr>
        <xdr:cNvPr id="2" name="テキスト ボックス 1"/>
        <xdr:cNvSpPr txBox="1"/>
      </xdr:nvSpPr>
      <xdr:spPr>
        <a:xfrm>
          <a:off x="6762750" y="19050"/>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4</xdr:col>
      <xdr:colOff>742950</xdr:colOff>
      <xdr:row>0</xdr:row>
      <xdr:rowOff>28575</xdr:rowOff>
    </xdr:from>
    <xdr:ext cx="714375" cy="359073"/>
    <xdr:sp macro="" textlink="">
      <xdr:nvSpPr>
        <xdr:cNvPr id="2" name="テキスト ボックス 1"/>
        <xdr:cNvSpPr txBox="1"/>
      </xdr:nvSpPr>
      <xdr:spPr>
        <a:xfrm>
          <a:off x="6781800" y="2857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19050</xdr:colOff>
      <xdr:row>0</xdr:row>
      <xdr:rowOff>19050</xdr:rowOff>
    </xdr:from>
    <xdr:to>
      <xdr:col>5</xdr:col>
      <xdr:colOff>133350</xdr:colOff>
      <xdr:row>102</xdr:row>
      <xdr:rowOff>152400</xdr:rowOff>
    </xdr:to>
    <xdr:sp macro="" textlink="">
      <xdr:nvSpPr>
        <xdr:cNvPr id="3" name="正方形/長方形 2"/>
        <xdr:cNvSpPr/>
      </xdr:nvSpPr>
      <xdr:spPr>
        <a:xfrm>
          <a:off x="19050" y="19050"/>
          <a:ext cx="10553700" cy="18040350"/>
        </a:xfrm>
        <a:prstGeom prst="rect">
          <a:avLst/>
        </a:prstGeom>
        <a:solidFill>
          <a:schemeClr val="accent1">
            <a:alpha val="8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）注意事項（</a:t>
          </a:r>
          <a:r>
            <a:rPr kumimoji="1" lang="en-US" altLang="ja-JP" sz="1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本シートは他シートにおける入力用データを記載しているため、削除・変更は行わないでください。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333375</xdr:colOff>
      <xdr:row>17</xdr:row>
      <xdr:rowOff>161925</xdr:rowOff>
    </xdr:to>
    <xdr:sp macro="" textlink="">
      <xdr:nvSpPr>
        <xdr:cNvPr id="2" name="正方形/長方形 1"/>
        <xdr:cNvSpPr/>
      </xdr:nvSpPr>
      <xdr:spPr>
        <a:xfrm>
          <a:off x="0" y="0"/>
          <a:ext cx="9029700" cy="3076575"/>
        </a:xfrm>
        <a:prstGeom prst="rect">
          <a:avLst/>
        </a:prstGeom>
        <a:solidFill>
          <a:schemeClr val="accent1">
            <a:alpha val="8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）注意事項（</a:t>
          </a:r>
          <a:r>
            <a:rPr kumimoji="1" lang="en-US" altLang="ja-JP" sz="1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本シートは他シートにおける入力用データを記載しているため、削除・変更は行わないでください。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1452560</xdr:colOff>
      <xdr:row>0</xdr:row>
      <xdr:rowOff>11906</xdr:rowOff>
    </xdr:from>
    <xdr:ext cx="714375" cy="359073"/>
    <xdr:sp macro="" textlink="">
      <xdr:nvSpPr>
        <xdr:cNvPr id="2" name="テキスト ボックス 1"/>
        <xdr:cNvSpPr txBox="1"/>
      </xdr:nvSpPr>
      <xdr:spPr>
        <a:xfrm>
          <a:off x="9263060" y="11906"/>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0" i="0">
              <a:latin typeface="ＭＳ Ｐゴシック" panose="020B0600070205080204" pitchFamily="50" charset="-128"/>
              <a:ea typeface="ＭＳ Ｐゴシック" panose="020B0600070205080204" pitchFamily="50" charset="-128"/>
            </a:rPr>
            <a:t>様式</a:t>
          </a:r>
          <a:r>
            <a:rPr kumimoji="1" lang="en-US" altLang="ja-JP" sz="1600" b="0" i="0">
              <a:latin typeface="ＭＳ Ｐゴシック" panose="020B0600070205080204" pitchFamily="50" charset="-128"/>
              <a:ea typeface="ＭＳ Ｐゴシック" panose="020B0600070205080204" pitchFamily="50" charset="-128"/>
            </a:rPr>
            <a:t>3</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676275</xdr:colOff>
      <xdr:row>0</xdr:row>
      <xdr:rowOff>28575</xdr:rowOff>
    </xdr:from>
    <xdr:ext cx="714375" cy="359073"/>
    <xdr:sp macro="" textlink="">
      <xdr:nvSpPr>
        <xdr:cNvPr id="2" name="テキスト ボックス 1"/>
        <xdr:cNvSpPr txBox="1"/>
      </xdr:nvSpPr>
      <xdr:spPr>
        <a:xfrm>
          <a:off x="7515225" y="2857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0" i="0">
              <a:latin typeface="ＭＳ Ｐゴシック" panose="020B0600070205080204" pitchFamily="50" charset="-128"/>
              <a:ea typeface="ＭＳ Ｐゴシック" panose="020B0600070205080204" pitchFamily="50" charset="-128"/>
            </a:rPr>
            <a:t>様式</a:t>
          </a:r>
          <a:r>
            <a:rPr kumimoji="1" lang="en-US" altLang="ja-JP" sz="1600" b="0" i="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695325</xdr:colOff>
      <xdr:row>0</xdr:row>
      <xdr:rowOff>28972</xdr:rowOff>
    </xdr:from>
    <xdr:ext cx="714375" cy="359073"/>
    <xdr:sp macro="" textlink="">
      <xdr:nvSpPr>
        <xdr:cNvPr id="3" name="テキスト ボックス 2"/>
        <xdr:cNvSpPr txBox="1"/>
      </xdr:nvSpPr>
      <xdr:spPr>
        <a:xfrm>
          <a:off x="6734175" y="28972"/>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704850</xdr:colOff>
      <xdr:row>0</xdr:row>
      <xdr:rowOff>28575</xdr:rowOff>
    </xdr:from>
    <xdr:ext cx="714375" cy="359073"/>
    <xdr:sp macro="" textlink="">
      <xdr:nvSpPr>
        <xdr:cNvPr id="2" name="テキスト ボックス 1"/>
        <xdr:cNvSpPr txBox="1"/>
      </xdr:nvSpPr>
      <xdr:spPr>
        <a:xfrm>
          <a:off x="6743700" y="2857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714375</xdr:colOff>
      <xdr:row>0</xdr:row>
      <xdr:rowOff>28575</xdr:rowOff>
    </xdr:from>
    <xdr:ext cx="714375" cy="359073"/>
    <xdr:sp macro="" textlink="">
      <xdr:nvSpPr>
        <xdr:cNvPr id="2" name="テキスト ボックス 1"/>
        <xdr:cNvSpPr txBox="1"/>
      </xdr:nvSpPr>
      <xdr:spPr>
        <a:xfrm>
          <a:off x="6753225" y="2857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4</xdr:col>
      <xdr:colOff>742950</xdr:colOff>
      <xdr:row>0</xdr:row>
      <xdr:rowOff>28972</xdr:rowOff>
    </xdr:from>
    <xdr:ext cx="714375" cy="359073"/>
    <xdr:sp macro="" textlink="">
      <xdr:nvSpPr>
        <xdr:cNvPr id="2" name="テキスト ボックス 1"/>
        <xdr:cNvSpPr txBox="1"/>
      </xdr:nvSpPr>
      <xdr:spPr>
        <a:xfrm>
          <a:off x="6781800" y="28972"/>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4</xdr:col>
      <xdr:colOff>733425</xdr:colOff>
      <xdr:row>0</xdr:row>
      <xdr:rowOff>28575</xdr:rowOff>
    </xdr:from>
    <xdr:ext cx="714375" cy="359073"/>
    <xdr:sp macro="" textlink="">
      <xdr:nvSpPr>
        <xdr:cNvPr id="2" name="テキスト ボックス 1"/>
        <xdr:cNvSpPr txBox="1"/>
      </xdr:nvSpPr>
      <xdr:spPr>
        <a:xfrm>
          <a:off x="6772275" y="2857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4</xdr:col>
      <xdr:colOff>742950</xdr:colOff>
      <xdr:row>0</xdr:row>
      <xdr:rowOff>19050</xdr:rowOff>
    </xdr:from>
    <xdr:ext cx="714375" cy="359073"/>
    <xdr:sp macro="" textlink="">
      <xdr:nvSpPr>
        <xdr:cNvPr id="2" name="テキスト ボックス 1"/>
        <xdr:cNvSpPr txBox="1"/>
      </xdr:nvSpPr>
      <xdr:spPr>
        <a:xfrm>
          <a:off x="6781800" y="19050"/>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file:///C:\Users\muratajo\AppData\Local\Microsoft\Windows\Temporary%20Internet%20Files\Content.Outlook\C6R2I195\&#21029;&#28155;1_&#25552;&#26696;&#26360;&#27096;&#24335;&#65288;&#25913;&#35330;&#20013;&#65289;.docx" TargetMode="External"/><Relationship Id="rId1" Type="http://schemas.openxmlformats.org/officeDocument/2006/relationships/hyperlink" Target="file:///C:\Users\muratajo\AppData\Local\Microsoft\Windows\Temporary%20Internet%20Files\Content.Outlook\C6R2I195\&#21029;&#28155;1_&#25552;&#26696;&#26360;&#27096;&#24335;&#65288;&#25913;&#35330;&#20013;&#65289;.docx" TargetMode="External"/><Relationship Id="rId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nedo.go.jp/content/100641154.pdf" TargetMode="External"/><Relationship Id="rId1" Type="http://schemas.openxmlformats.org/officeDocument/2006/relationships/hyperlink" Target="http://www.nedo.go.jp/content/100641154.pdf" TargetMode="External"/><Relationship Id="rId4"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nedo.go.jp/content/100640939.pdf" TargetMode="External"/><Relationship Id="rId1" Type="http://schemas.openxmlformats.org/officeDocument/2006/relationships/hyperlink" Target="http://www.nedo.go.jp/content/100640939.pdf" TargetMode="External"/><Relationship Id="rId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file:///C:\Users\muratajo\AppData\Local\Microsoft\Windows\Temporary%20Internet%20Files\Content.Outlook\C6R2I195\&#21029;&#28155;1_&#25552;&#26696;&#26360;&#27096;&#24335;&#65288;&#25913;&#35330;&#20013;&#65289;.docx" TargetMode="External"/><Relationship Id="rId1" Type="http://schemas.openxmlformats.org/officeDocument/2006/relationships/hyperlink" Target="file:///C:\Users\muratajo\AppData\Local\Microsoft\Windows\Temporary%20Internet%20Files\Content.Outlook\C6R2I195\&#21029;&#28155;1_&#25552;&#26696;&#26360;&#27096;&#24335;&#65288;&#25913;&#35330;&#20013;&#65289;.docx" TargetMode="External"/><Relationship Id="rId4"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nedo.go.jp/itaku-gyomu/yakkan.html" TargetMode="External"/><Relationship Id="rId1" Type="http://schemas.openxmlformats.org/officeDocument/2006/relationships/hyperlink" Target="http://www.nedo.go.jp/itaku-gyomu/yakkan.html" TargetMode="External"/><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nedo.go.jp/content/100641154.pdf" TargetMode="External"/><Relationship Id="rId1" Type="http://schemas.openxmlformats.org/officeDocument/2006/relationships/hyperlink" Target="http://www.nedo.go.jp/content/100641154.pdf" TargetMode="External"/><Relationship Id="rId4"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nedo.go.jp/content/100640939.pdf" TargetMode="External"/><Relationship Id="rId1" Type="http://schemas.openxmlformats.org/officeDocument/2006/relationships/hyperlink" Target="http://www.nedo.go.jp/content/100640939.pdf"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showGridLines="0" tabSelected="1" zoomScaleNormal="100" workbookViewId="0">
      <selection sqref="A1:C1"/>
    </sheetView>
  </sheetViews>
  <sheetFormatPr defaultRowHeight="13.5"/>
  <cols>
    <col min="1" max="1" width="56.75" customWidth="1"/>
    <col min="2" max="3" width="16.75" bestFit="1" customWidth="1"/>
  </cols>
  <sheetData>
    <row r="1" spans="1:4">
      <c r="A1" s="306" t="s">
        <v>338</v>
      </c>
      <c r="B1" s="307"/>
      <c r="C1" s="307"/>
    </row>
    <row r="2" spans="1:4">
      <c r="A2" s="308"/>
      <c r="B2" s="308"/>
      <c r="C2" s="308"/>
    </row>
    <row r="3" spans="1:4" ht="27" customHeight="1">
      <c r="A3" s="308" t="s">
        <v>339</v>
      </c>
      <c r="B3" s="308"/>
      <c r="C3" s="308"/>
    </row>
    <row r="4" spans="1:4" ht="6.75" customHeight="1">
      <c r="A4" s="308"/>
      <c r="B4" s="308"/>
      <c r="C4" s="308"/>
    </row>
    <row r="5" spans="1:4">
      <c r="A5" s="308" t="s">
        <v>340</v>
      </c>
      <c r="B5" s="308"/>
      <c r="C5" s="308"/>
    </row>
    <row r="6" spans="1:4" ht="27" customHeight="1">
      <c r="A6" s="308" t="s">
        <v>341</v>
      </c>
      <c r="B6" s="308"/>
      <c r="C6" s="308"/>
    </row>
    <row r="7" spans="1:4" ht="6.75" customHeight="1">
      <c r="A7" s="308"/>
      <c r="B7" s="308"/>
      <c r="C7" s="308"/>
    </row>
    <row r="8" spans="1:4" ht="26.25" customHeight="1">
      <c r="A8" s="302" t="s">
        <v>375</v>
      </c>
      <c r="B8" s="303" t="s">
        <v>376</v>
      </c>
      <c r="C8" s="303" t="s">
        <v>377</v>
      </c>
      <c r="D8" s="301"/>
    </row>
    <row r="9" spans="1:4" ht="26.25" customHeight="1">
      <c r="A9" s="302" t="s">
        <v>328</v>
      </c>
      <c r="B9" s="303" t="s">
        <v>329</v>
      </c>
      <c r="C9" s="303" t="s">
        <v>330</v>
      </c>
      <c r="D9" s="301"/>
    </row>
    <row r="10" spans="1:4" ht="26.25" customHeight="1">
      <c r="A10" s="303" t="s">
        <v>331</v>
      </c>
      <c r="B10" s="303" t="s">
        <v>332</v>
      </c>
      <c r="C10" s="303" t="s">
        <v>333</v>
      </c>
      <c r="D10" s="301"/>
    </row>
    <row r="11" spans="1:4" ht="26.25" customHeight="1">
      <c r="A11" s="303" t="s">
        <v>334</v>
      </c>
      <c r="B11" s="303" t="s">
        <v>332</v>
      </c>
      <c r="C11" s="303" t="s">
        <v>335</v>
      </c>
      <c r="D11" s="301"/>
    </row>
    <row r="12" spans="1:4" ht="26.25" customHeight="1">
      <c r="A12" s="303" t="s">
        <v>336</v>
      </c>
      <c r="B12" s="303" t="s">
        <v>337</v>
      </c>
      <c r="C12" s="303" t="s">
        <v>335</v>
      </c>
      <c r="D12" s="301"/>
    </row>
    <row r="13" spans="1:4" ht="6.75" customHeight="1">
      <c r="A13" s="308"/>
      <c r="B13" s="308"/>
      <c r="C13" s="308"/>
    </row>
    <row r="14" spans="1:4" ht="13.5" customHeight="1">
      <c r="A14" s="308" t="s">
        <v>364</v>
      </c>
      <c r="B14" s="308"/>
      <c r="C14" s="308"/>
    </row>
    <row r="15" spans="1:4">
      <c r="A15" s="308" t="s">
        <v>365</v>
      </c>
      <c r="B15" s="308"/>
      <c r="C15" s="308"/>
    </row>
    <row r="16" spans="1:4" ht="27" customHeight="1">
      <c r="A16" s="308" t="s">
        <v>366</v>
      </c>
      <c r="B16" s="308"/>
      <c r="C16" s="308"/>
    </row>
    <row r="17" spans="1:3" ht="6.75" customHeight="1">
      <c r="A17" s="308"/>
      <c r="B17" s="308"/>
      <c r="C17" s="308"/>
    </row>
    <row r="18" spans="1:3">
      <c r="A18" s="308" t="s">
        <v>342</v>
      </c>
      <c r="B18" s="308"/>
      <c r="C18" s="308"/>
    </row>
    <row r="19" spans="1:3">
      <c r="A19" s="308" t="s">
        <v>343</v>
      </c>
      <c r="B19" s="308"/>
      <c r="C19" s="308"/>
    </row>
    <row r="20" spans="1:3" ht="27" customHeight="1">
      <c r="A20" s="308" t="s">
        <v>344</v>
      </c>
      <c r="B20" s="308"/>
      <c r="C20" s="308"/>
    </row>
    <row r="21" spans="1:3">
      <c r="A21" s="308" t="s">
        <v>345</v>
      </c>
      <c r="B21" s="308"/>
      <c r="C21" s="308"/>
    </row>
    <row r="22" spans="1:3" ht="6.75" customHeight="1">
      <c r="A22" s="308"/>
      <c r="B22" s="308"/>
      <c r="C22" s="308"/>
    </row>
    <row r="23" spans="1:3">
      <c r="A23" s="308" t="s">
        <v>346</v>
      </c>
      <c r="B23" s="308"/>
      <c r="C23" s="308"/>
    </row>
    <row r="24" spans="1:3" ht="27" customHeight="1">
      <c r="A24" s="308" t="s">
        <v>347</v>
      </c>
      <c r="B24" s="308"/>
      <c r="C24" s="308"/>
    </row>
    <row r="25" spans="1:3" ht="6.75" customHeight="1">
      <c r="A25" s="308"/>
      <c r="B25" s="308"/>
      <c r="C25" s="308"/>
    </row>
    <row r="26" spans="1:3">
      <c r="A26" s="308" t="s">
        <v>348</v>
      </c>
      <c r="B26" s="308"/>
      <c r="C26" s="308"/>
    </row>
    <row r="27" spans="1:3">
      <c r="A27" s="308" t="s">
        <v>349</v>
      </c>
      <c r="B27" s="308"/>
      <c r="C27" s="308"/>
    </row>
    <row r="28" spans="1:3">
      <c r="A28" s="308" t="s">
        <v>350</v>
      </c>
      <c r="B28" s="308"/>
      <c r="C28" s="308"/>
    </row>
    <row r="29" spans="1:3">
      <c r="A29" s="308" t="s">
        <v>351</v>
      </c>
      <c r="B29" s="308"/>
      <c r="C29" s="308"/>
    </row>
    <row r="30" spans="1:3">
      <c r="A30" s="308" t="s">
        <v>352</v>
      </c>
      <c r="B30" s="308"/>
      <c r="C30" s="308"/>
    </row>
    <row r="31" spans="1:3" ht="6.75" customHeight="1">
      <c r="A31" s="308"/>
      <c r="B31" s="308"/>
      <c r="C31" s="308"/>
    </row>
    <row r="32" spans="1:3">
      <c r="A32" s="308" t="s">
        <v>353</v>
      </c>
      <c r="B32" s="308"/>
      <c r="C32" s="308"/>
    </row>
    <row r="33" spans="1:3">
      <c r="A33" s="308" t="s">
        <v>354</v>
      </c>
      <c r="B33" s="308"/>
      <c r="C33" s="308"/>
    </row>
    <row r="34" spans="1:3">
      <c r="A34" s="308" t="s">
        <v>355</v>
      </c>
      <c r="B34" s="308"/>
      <c r="C34" s="308"/>
    </row>
    <row r="35" spans="1:3" ht="6.75" customHeight="1">
      <c r="A35" s="308"/>
      <c r="B35" s="308"/>
      <c r="C35" s="308"/>
    </row>
    <row r="36" spans="1:3" ht="27" customHeight="1">
      <c r="A36" s="308" t="s">
        <v>356</v>
      </c>
      <c r="B36" s="308"/>
      <c r="C36" s="308"/>
    </row>
    <row r="37" spans="1:3" ht="6.75" customHeight="1">
      <c r="A37" s="308"/>
      <c r="B37" s="308"/>
      <c r="C37" s="308"/>
    </row>
    <row r="38" spans="1:3" ht="27" customHeight="1">
      <c r="A38" s="308" t="s">
        <v>357</v>
      </c>
      <c r="B38" s="308"/>
      <c r="C38" s="308"/>
    </row>
    <row r="39" spans="1:3" ht="13.5" customHeight="1">
      <c r="A39" s="308" t="s">
        <v>358</v>
      </c>
      <c r="B39" s="308"/>
      <c r="C39" s="308"/>
    </row>
    <row r="40" spans="1:3" ht="27" customHeight="1">
      <c r="A40" s="308" t="s">
        <v>359</v>
      </c>
      <c r="B40" s="308"/>
      <c r="C40" s="308"/>
    </row>
    <row r="41" spans="1:3" ht="13.5" customHeight="1">
      <c r="A41" s="308" t="s">
        <v>360</v>
      </c>
      <c r="B41" s="308"/>
      <c r="C41" s="308"/>
    </row>
  </sheetData>
  <mergeCells count="36">
    <mergeCell ref="A41:C41"/>
    <mergeCell ref="A7:C7"/>
    <mergeCell ref="A13:C13"/>
    <mergeCell ref="A17:C17"/>
    <mergeCell ref="A22:C22"/>
    <mergeCell ref="A25:C25"/>
    <mergeCell ref="A33:C33"/>
    <mergeCell ref="A34:C34"/>
    <mergeCell ref="A36:C36"/>
    <mergeCell ref="A38:C38"/>
    <mergeCell ref="A39:C39"/>
    <mergeCell ref="A40:C40"/>
    <mergeCell ref="A35:C35"/>
    <mergeCell ref="A37:C37"/>
    <mergeCell ref="A27:C27"/>
    <mergeCell ref="A28:C28"/>
    <mergeCell ref="A29:C29"/>
    <mergeCell ref="A30:C30"/>
    <mergeCell ref="A32:C32"/>
    <mergeCell ref="A31:C31"/>
    <mergeCell ref="A21:C21"/>
    <mergeCell ref="A23:C23"/>
    <mergeCell ref="A24:C24"/>
    <mergeCell ref="A26:C26"/>
    <mergeCell ref="A16:C16"/>
    <mergeCell ref="A18:C18"/>
    <mergeCell ref="A19:C19"/>
    <mergeCell ref="A20:C20"/>
    <mergeCell ref="A2:C2"/>
    <mergeCell ref="A4:C4"/>
    <mergeCell ref="A15:C15"/>
    <mergeCell ref="A1:C1"/>
    <mergeCell ref="A3:C3"/>
    <mergeCell ref="A5:C5"/>
    <mergeCell ref="A6:C6"/>
    <mergeCell ref="A14:C14"/>
  </mergeCells>
  <phoneticPr fontId="9"/>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A1:F31"/>
  <sheetViews>
    <sheetView showGridLines="0" zoomScale="60" zoomScaleNormal="60" workbookViewId="0"/>
  </sheetViews>
  <sheetFormatPr defaultRowHeight="13.5"/>
  <cols>
    <col min="1" max="1" width="35.375" bestFit="1" customWidth="1"/>
    <col min="2" max="6" width="14.625" customWidth="1"/>
  </cols>
  <sheetData>
    <row r="1" spans="1:6" ht="33" customHeight="1">
      <c r="F1" s="12" t="s">
        <v>128</v>
      </c>
    </row>
    <row r="2" spans="1:6" ht="50.1" customHeight="1">
      <c r="A2" s="384" t="s">
        <v>159</v>
      </c>
      <c r="B2" s="385"/>
      <c r="C2" s="385"/>
      <c r="D2" s="385"/>
      <c r="E2" s="385"/>
      <c r="F2" s="385"/>
    </row>
    <row r="3" spans="1:6" s="5" customFormat="1" ht="18.75" customHeight="1">
      <c r="A3" s="36" t="s">
        <v>160</v>
      </c>
    </row>
    <row r="4" spans="1:6" s="5" customFormat="1" ht="18.75" customHeight="1">
      <c r="A4" s="36" t="s">
        <v>161</v>
      </c>
    </row>
    <row r="5" spans="1:6" s="5" customFormat="1" ht="18.75" customHeight="1">
      <c r="A5" s="35" t="s">
        <v>103</v>
      </c>
    </row>
    <row r="6" spans="1:6" s="5" customFormat="1" ht="18.75" customHeight="1"/>
    <row r="7" spans="1:6" s="14" customFormat="1" ht="18.75" customHeight="1">
      <c r="A7" s="14" t="s">
        <v>104</v>
      </c>
    </row>
    <row r="8" spans="1:6" s="14" customFormat="1" ht="18.75" customHeight="1">
      <c r="A8" s="14" t="s">
        <v>27</v>
      </c>
    </row>
    <row r="9" spans="1:6" s="14" customFormat="1" ht="18.75" customHeight="1">
      <c r="F9" s="16" t="s">
        <v>9</v>
      </c>
    </row>
    <row r="10" spans="1:6" s="18" customFormat="1" ht="31.5" customHeight="1">
      <c r="A10" s="17" t="s">
        <v>0</v>
      </c>
      <c r="B10" s="17" t="s">
        <v>8</v>
      </c>
      <c r="C10" s="6" t="s">
        <v>52</v>
      </c>
      <c r="D10" s="6" t="s">
        <v>53</v>
      </c>
      <c r="E10" s="6" t="s">
        <v>54</v>
      </c>
      <c r="F10" s="6" t="s">
        <v>127</v>
      </c>
    </row>
    <row r="11" spans="1:6" s="5" customFormat="1" ht="31.5" customHeight="1">
      <c r="A11" s="19" t="s">
        <v>1</v>
      </c>
      <c r="B11" s="19">
        <f t="shared" ref="B11:B19" si="0">SUM(C11:F11)</f>
        <v>0</v>
      </c>
      <c r="C11" s="19">
        <f>SUM(C12:C15)</f>
        <v>0</v>
      </c>
      <c r="D11" s="19">
        <f t="shared" ref="D11:E11" si="1">SUM(D12:D15)</f>
        <v>0</v>
      </c>
      <c r="E11" s="19">
        <f t="shared" si="1"/>
        <v>0</v>
      </c>
      <c r="F11" s="19">
        <f>SUM(F12:F15)</f>
        <v>0</v>
      </c>
    </row>
    <row r="12" spans="1:6" s="5" customFormat="1" ht="31.5" customHeight="1">
      <c r="A12" s="20" t="s">
        <v>2</v>
      </c>
      <c r="B12" s="20">
        <f t="shared" si="0"/>
        <v>0</v>
      </c>
      <c r="C12" s="20"/>
      <c r="D12" s="20"/>
      <c r="E12" s="20"/>
      <c r="F12" s="20"/>
    </row>
    <row r="13" spans="1:6" s="5" customFormat="1" ht="31.5" customHeight="1">
      <c r="A13" s="20" t="s">
        <v>3</v>
      </c>
      <c r="B13" s="20">
        <f t="shared" si="0"/>
        <v>0</v>
      </c>
      <c r="C13" s="20"/>
      <c r="D13" s="20"/>
      <c r="E13" s="20"/>
      <c r="F13" s="20"/>
    </row>
    <row r="14" spans="1:6" s="5" customFormat="1" ht="31.5" customHeight="1">
      <c r="A14" s="20" t="s">
        <v>4</v>
      </c>
      <c r="B14" s="20">
        <f t="shared" si="0"/>
        <v>0</v>
      </c>
      <c r="C14" s="20"/>
      <c r="D14" s="20"/>
      <c r="E14" s="20"/>
      <c r="F14" s="20"/>
    </row>
    <row r="15" spans="1:6" s="5" customFormat="1" ht="31.5" customHeight="1">
      <c r="A15" s="20" t="s">
        <v>5</v>
      </c>
      <c r="B15" s="20">
        <f t="shared" si="0"/>
        <v>0</v>
      </c>
      <c r="C15" s="20"/>
      <c r="D15" s="20"/>
      <c r="E15" s="20"/>
      <c r="F15" s="20"/>
    </row>
    <row r="16" spans="1:6" s="5" customFormat="1" ht="31.5" customHeight="1">
      <c r="A16" s="8" t="s">
        <v>6</v>
      </c>
      <c r="B16" s="8">
        <f t="shared" si="0"/>
        <v>0</v>
      </c>
      <c r="C16" s="21">
        <f>ROUNDDOWN((C11/1000*15%),0)*1000</f>
        <v>0</v>
      </c>
      <c r="D16" s="21">
        <f t="shared" ref="D16:E16" si="2">ROUNDDOWN((D11/1000*15%),0)*1000</f>
        <v>0</v>
      </c>
      <c r="E16" s="21">
        <f t="shared" si="2"/>
        <v>0</v>
      </c>
      <c r="F16" s="21">
        <f>ROUNDDOWN((F11/1000*15%),0)*1000</f>
        <v>0</v>
      </c>
    </row>
    <row r="17" spans="1:6" s="5" customFormat="1" ht="31.5" customHeight="1">
      <c r="A17" s="22" t="s">
        <v>7</v>
      </c>
      <c r="B17" s="8">
        <f t="shared" si="0"/>
        <v>0</v>
      </c>
      <c r="C17" s="8">
        <v>0</v>
      </c>
      <c r="D17" s="8">
        <v>0</v>
      </c>
      <c r="E17" s="8">
        <v>0</v>
      </c>
      <c r="F17" s="8">
        <v>0</v>
      </c>
    </row>
    <row r="18" spans="1:6" s="5" customFormat="1" ht="31.5" customHeight="1">
      <c r="A18" s="6" t="s">
        <v>28</v>
      </c>
      <c r="B18" s="8">
        <f t="shared" si="0"/>
        <v>0</v>
      </c>
      <c r="C18" s="8">
        <f>SUM(C11,C16,C17)</f>
        <v>0</v>
      </c>
      <c r="D18" s="8">
        <f t="shared" ref="D18:E18" si="3">SUM(D11,D16,D17)</f>
        <v>0</v>
      </c>
      <c r="E18" s="8">
        <f t="shared" si="3"/>
        <v>0</v>
      </c>
      <c r="F18" s="8">
        <f>SUM(F11,F16,F17)</f>
        <v>0</v>
      </c>
    </row>
    <row r="19" spans="1:6" s="5" customFormat="1" ht="31.5" customHeight="1">
      <c r="A19" s="29" t="s">
        <v>190</v>
      </c>
      <c r="B19" s="8">
        <f t="shared" si="0"/>
        <v>0</v>
      </c>
      <c r="C19" s="21">
        <f>ROUNDDOWN(C18-(C18/(100%+$B$31)),0)</f>
        <v>0</v>
      </c>
      <c r="D19" s="21">
        <f t="shared" ref="D19:F19" si="4">ROUNDDOWN(D18-(D18/(100%+$B$31)),0)</f>
        <v>0</v>
      </c>
      <c r="E19" s="21">
        <f t="shared" si="4"/>
        <v>0</v>
      </c>
      <c r="F19" s="8">
        <f t="shared" si="4"/>
        <v>0</v>
      </c>
    </row>
    <row r="20" spans="1:6" s="14" customFormat="1"/>
    <row r="21" spans="1:6">
      <c r="A21" t="s">
        <v>59</v>
      </c>
    </row>
    <row r="22" spans="1:6">
      <c r="A22" t="s">
        <v>162</v>
      </c>
    </row>
    <row r="23" spans="1:6">
      <c r="A23" t="s">
        <v>163</v>
      </c>
    </row>
    <row r="24" spans="1:6">
      <c r="A24" t="s">
        <v>164</v>
      </c>
    </row>
    <row r="25" spans="1:6">
      <c r="A25" t="s">
        <v>170</v>
      </c>
    </row>
    <row r="26" spans="1:6">
      <c r="A26" t="s">
        <v>222</v>
      </c>
    </row>
    <row r="27" spans="1:6">
      <c r="A27" t="s">
        <v>221</v>
      </c>
    </row>
    <row r="28" spans="1:6">
      <c r="A28" t="s">
        <v>174</v>
      </c>
    </row>
    <row r="29" spans="1:6">
      <c r="A29" t="s">
        <v>220</v>
      </c>
    </row>
    <row r="31" spans="1:6">
      <c r="A31" s="68" t="s">
        <v>189</v>
      </c>
      <c r="B31" s="67">
        <v>0.1</v>
      </c>
    </row>
  </sheetData>
  <mergeCells count="1">
    <mergeCell ref="A2:F2"/>
  </mergeCells>
  <phoneticPr fontId="3"/>
  <hyperlinks>
    <hyperlink ref="A3" r:id="rId1"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hyperlink ref="A4" r:id="rId2"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hyperlinks>
  <pageMargins left="0.70866141732283472" right="0.70866141732283472" top="0.74803149606299213" bottom="0.74803149606299213" header="0.31496062992125984" footer="0.31496062992125984"/>
  <pageSetup paperSize="9" scale="83" orientation="landscape"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F41"/>
  <sheetViews>
    <sheetView showGridLines="0" zoomScale="60" zoomScaleNormal="60" workbookViewId="0"/>
  </sheetViews>
  <sheetFormatPr defaultRowHeight="13.5"/>
  <cols>
    <col min="1" max="1" width="35.375" bestFit="1" customWidth="1"/>
    <col min="2" max="6" width="14.625" customWidth="1"/>
  </cols>
  <sheetData>
    <row r="1" spans="1:6" ht="33" customHeight="1">
      <c r="F1" s="12" t="s">
        <v>128</v>
      </c>
    </row>
    <row r="2" spans="1:6" ht="50.1" customHeight="1">
      <c r="A2" s="383" t="s">
        <v>158</v>
      </c>
      <c r="B2" s="375"/>
      <c r="C2" s="375"/>
      <c r="D2" s="375"/>
      <c r="E2" s="375"/>
      <c r="F2" s="375"/>
    </row>
    <row r="3" spans="1:6" s="2" customFormat="1" ht="18.75" customHeight="1">
      <c r="A3" s="35" t="s">
        <v>62</v>
      </c>
      <c r="B3" s="24"/>
      <c r="C3" s="24"/>
      <c r="D3" s="24"/>
      <c r="E3" s="24"/>
      <c r="F3" s="24"/>
    </row>
    <row r="4" spans="1:6" s="2" customFormat="1" ht="18.75" customHeight="1">
      <c r="A4" s="35" t="s">
        <v>154</v>
      </c>
      <c r="B4" s="24"/>
      <c r="C4" s="24"/>
      <c r="D4" s="24"/>
      <c r="E4" s="24"/>
      <c r="F4" s="24"/>
    </row>
    <row r="5" spans="1:6" s="2" customFormat="1" ht="18.75" customHeight="1">
      <c r="A5" s="35" t="s">
        <v>129</v>
      </c>
      <c r="B5" s="24"/>
      <c r="C5" s="24"/>
      <c r="D5" s="24"/>
      <c r="E5" s="24"/>
      <c r="F5" s="24"/>
    </row>
    <row r="6" spans="1:6" s="5" customFormat="1" ht="18.75" customHeight="1">
      <c r="A6" s="35" t="s">
        <v>103</v>
      </c>
    </row>
    <row r="7" spans="1:6" s="5" customFormat="1" ht="18.75" customHeight="1">
      <c r="A7" s="35"/>
    </row>
    <row r="8" spans="1:6" s="14" customFormat="1" ht="18.75" customHeight="1">
      <c r="A8" s="5" t="s">
        <v>104</v>
      </c>
    </row>
    <row r="9" spans="1:6" s="14" customFormat="1" ht="18.75" customHeight="1">
      <c r="A9" s="14" t="s">
        <v>29</v>
      </c>
    </row>
    <row r="10" spans="1:6" s="14" customFormat="1" ht="18.75" customHeight="1">
      <c r="F10" s="16" t="s">
        <v>9</v>
      </c>
    </row>
    <row r="11" spans="1:6" s="18" customFormat="1" ht="22.5" customHeight="1">
      <c r="A11" s="17" t="s">
        <v>0</v>
      </c>
      <c r="B11" s="17" t="s">
        <v>8</v>
      </c>
      <c r="C11" s="6" t="s">
        <v>52</v>
      </c>
      <c r="D11" s="6" t="s">
        <v>53</v>
      </c>
      <c r="E11" s="6" t="s">
        <v>54</v>
      </c>
      <c r="F11" s="6" t="s">
        <v>127</v>
      </c>
    </row>
    <row r="12" spans="1:6" s="5" customFormat="1" ht="22.5" customHeight="1">
      <c r="A12" s="19" t="s">
        <v>10</v>
      </c>
      <c r="B12" s="19">
        <f t="shared" ref="B12:B27" si="0">SUM(C12:F12)</f>
        <v>0</v>
      </c>
      <c r="C12" s="19">
        <f>SUM(C13:C15)</f>
        <v>0</v>
      </c>
      <c r="D12" s="19">
        <f t="shared" ref="D12:E12" si="1">SUM(D13:D15)</f>
        <v>0</v>
      </c>
      <c r="E12" s="19">
        <f t="shared" si="1"/>
        <v>0</v>
      </c>
      <c r="F12" s="19">
        <f>SUM(F13:F15)</f>
        <v>0</v>
      </c>
    </row>
    <row r="13" spans="1:6" s="5" customFormat="1" ht="22.5" customHeight="1">
      <c r="A13" s="20" t="s">
        <v>11</v>
      </c>
      <c r="B13" s="20">
        <f t="shared" si="0"/>
        <v>0</v>
      </c>
      <c r="C13" s="20"/>
      <c r="D13" s="20"/>
      <c r="E13" s="20"/>
      <c r="F13" s="20"/>
    </row>
    <row r="14" spans="1:6" s="5" customFormat="1" ht="22.5" customHeight="1">
      <c r="A14" s="20" t="s">
        <v>12</v>
      </c>
      <c r="B14" s="20">
        <f t="shared" si="0"/>
        <v>0</v>
      </c>
      <c r="C14" s="20"/>
      <c r="D14" s="20"/>
      <c r="E14" s="20"/>
      <c r="F14" s="20"/>
    </row>
    <row r="15" spans="1:6" s="5" customFormat="1" ht="22.5" customHeight="1">
      <c r="A15" s="22" t="s">
        <v>13</v>
      </c>
      <c r="B15" s="22">
        <f t="shared" si="0"/>
        <v>0</v>
      </c>
      <c r="C15" s="22"/>
      <c r="D15" s="22"/>
      <c r="E15" s="22"/>
      <c r="F15" s="22"/>
    </row>
    <row r="16" spans="1:6" s="5" customFormat="1" ht="22.5" customHeight="1">
      <c r="A16" s="19" t="s">
        <v>14</v>
      </c>
      <c r="B16" s="19">
        <f t="shared" si="0"/>
        <v>0</v>
      </c>
      <c r="C16" s="19">
        <f>SUM(C17:C18)</f>
        <v>0</v>
      </c>
      <c r="D16" s="19">
        <f t="shared" ref="D16:E16" si="2">SUM(D17:D18)</f>
        <v>0</v>
      </c>
      <c r="E16" s="19">
        <f t="shared" si="2"/>
        <v>0</v>
      </c>
      <c r="F16" s="19">
        <f>SUM(F17:F18)</f>
        <v>0</v>
      </c>
    </row>
    <row r="17" spans="1:6" s="5" customFormat="1" ht="22.5" customHeight="1">
      <c r="A17" s="20" t="s">
        <v>15</v>
      </c>
      <c r="B17" s="20">
        <f t="shared" si="0"/>
        <v>0</v>
      </c>
      <c r="C17" s="20"/>
      <c r="D17" s="20"/>
      <c r="E17" s="20"/>
      <c r="F17" s="20"/>
    </row>
    <row r="18" spans="1:6" s="5" customFormat="1" ht="22.5" customHeight="1">
      <c r="A18" s="22" t="s">
        <v>16</v>
      </c>
      <c r="B18" s="22">
        <f t="shared" si="0"/>
        <v>0</v>
      </c>
      <c r="C18" s="22"/>
      <c r="D18" s="22"/>
      <c r="E18" s="22"/>
      <c r="F18" s="22"/>
    </row>
    <row r="19" spans="1:6" s="5" customFormat="1" ht="22.5" customHeight="1">
      <c r="A19" s="20" t="s">
        <v>17</v>
      </c>
      <c r="B19" s="20">
        <f t="shared" si="0"/>
        <v>0</v>
      </c>
      <c r="C19" s="20">
        <f>SUM(C20:C23)</f>
        <v>0</v>
      </c>
      <c r="D19" s="20">
        <f t="shared" ref="D19:E19" si="3">SUM(D20:D23)</f>
        <v>0</v>
      </c>
      <c r="E19" s="20">
        <f t="shared" si="3"/>
        <v>0</v>
      </c>
      <c r="F19" s="20">
        <f>SUM(F20:F23)</f>
        <v>0</v>
      </c>
    </row>
    <row r="20" spans="1:6" s="5" customFormat="1" ht="22.5" customHeight="1">
      <c r="A20" s="20" t="s">
        <v>18</v>
      </c>
      <c r="B20" s="20">
        <f t="shared" si="0"/>
        <v>0</v>
      </c>
      <c r="C20" s="20"/>
      <c r="D20" s="20"/>
      <c r="E20" s="20"/>
      <c r="F20" s="20"/>
    </row>
    <row r="21" spans="1:6" s="5" customFormat="1" ht="22.5" customHeight="1">
      <c r="A21" s="20" t="s">
        <v>19</v>
      </c>
      <c r="B21" s="20">
        <f t="shared" si="0"/>
        <v>0</v>
      </c>
      <c r="C21" s="20"/>
      <c r="D21" s="20"/>
      <c r="E21" s="20"/>
      <c r="F21" s="20"/>
    </row>
    <row r="22" spans="1:6" s="5" customFormat="1" ht="22.5" customHeight="1">
      <c r="A22" s="20" t="s">
        <v>20</v>
      </c>
      <c r="B22" s="20">
        <f t="shared" si="0"/>
        <v>0</v>
      </c>
      <c r="C22" s="20"/>
      <c r="D22" s="20"/>
      <c r="E22" s="20"/>
      <c r="F22" s="20"/>
    </row>
    <row r="23" spans="1:6" s="5" customFormat="1" ht="22.5" customHeight="1">
      <c r="A23" s="20" t="s">
        <v>21</v>
      </c>
      <c r="B23" s="20">
        <f t="shared" si="0"/>
        <v>0</v>
      </c>
      <c r="C23" s="20"/>
      <c r="D23" s="20"/>
      <c r="E23" s="20"/>
      <c r="F23" s="20"/>
    </row>
    <row r="24" spans="1:6" s="5" customFormat="1" ht="22.5" customHeight="1">
      <c r="A24" s="25" t="s">
        <v>30</v>
      </c>
      <c r="B24" s="10">
        <f t="shared" si="0"/>
        <v>0</v>
      </c>
      <c r="C24" s="10">
        <f>SUM(C12,C16,C19)</f>
        <v>0</v>
      </c>
      <c r="D24" s="10">
        <f t="shared" ref="D24:E24" si="4">SUM(D12,D16,D19)</f>
        <v>0</v>
      </c>
      <c r="E24" s="10">
        <f t="shared" si="4"/>
        <v>0</v>
      </c>
      <c r="F24" s="10">
        <f>SUM(F12,F16,F19)</f>
        <v>0</v>
      </c>
    </row>
    <row r="25" spans="1:6" s="5" customFormat="1" ht="22.5" customHeight="1">
      <c r="A25" s="8" t="s">
        <v>22</v>
      </c>
      <c r="B25" s="8">
        <f t="shared" si="0"/>
        <v>0</v>
      </c>
      <c r="C25" s="21">
        <f>ROUNDDOWN((C24/1000*10%),0)*1000</f>
        <v>0</v>
      </c>
      <c r="D25" s="21">
        <f t="shared" ref="D25:E25" si="5">ROUNDDOWN((D24/1000*10%),0)*1000</f>
        <v>0</v>
      </c>
      <c r="E25" s="21">
        <f t="shared" si="5"/>
        <v>0</v>
      </c>
      <c r="F25" s="21">
        <f>ROUNDDOWN((F24/1000*10%),0)*1000</f>
        <v>0</v>
      </c>
    </row>
    <row r="26" spans="1:6" s="5" customFormat="1" ht="22.5" customHeight="1">
      <c r="A26" s="22" t="s">
        <v>23</v>
      </c>
      <c r="B26" s="8">
        <f t="shared" si="0"/>
        <v>0</v>
      </c>
      <c r="C26" s="8">
        <v>0</v>
      </c>
      <c r="D26" s="8">
        <v>0</v>
      </c>
      <c r="E26" s="8">
        <v>0</v>
      </c>
      <c r="F26" s="8">
        <v>0</v>
      </c>
    </row>
    <row r="27" spans="1:6" s="5" customFormat="1" ht="22.5" customHeight="1">
      <c r="A27" s="6" t="s">
        <v>121</v>
      </c>
      <c r="B27" s="8">
        <f t="shared" si="0"/>
        <v>0</v>
      </c>
      <c r="C27" s="8">
        <f>SUM(C24:C26)</f>
        <v>0</v>
      </c>
      <c r="D27" s="8">
        <f t="shared" ref="D27:F27" si="6">SUM(D24:D26)</f>
        <v>0</v>
      </c>
      <c r="E27" s="8">
        <f t="shared" si="6"/>
        <v>0</v>
      </c>
      <c r="F27" s="8">
        <f t="shared" si="6"/>
        <v>0</v>
      </c>
    </row>
    <row r="28" spans="1:6" s="5" customFormat="1" ht="22.5" customHeight="1">
      <c r="A28" s="30"/>
      <c r="B28" s="15"/>
      <c r="C28" s="15"/>
      <c r="D28" s="15"/>
      <c r="E28" s="15"/>
      <c r="F28" s="15"/>
    </row>
    <row r="29" spans="1:6">
      <c r="A29" t="s">
        <v>55</v>
      </c>
    </row>
    <row r="30" spans="1:6">
      <c r="A30" s="34" t="s">
        <v>130</v>
      </c>
    </row>
    <row r="31" spans="1:6">
      <c r="A31" s="34" t="s">
        <v>155</v>
      </c>
    </row>
    <row r="32" spans="1:6">
      <c r="A32" s="13" t="s">
        <v>134</v>
      </c>
      <c r="B32" s="3"/>
      <c r="C32" s="3"/>
      <c r="D32" s="3"/>
      <c r="E32" s="3"/>
      <c r="F32" s="3"/>
    </row>
    <row r="33" spans="1:6">
      <c r="A33" s="13" t="s">
        <v>156</v>
      </c>
      <c r="B33" s="3"/>
      <c r="C33" s="3"/>
      <c r="D33" s="3"/>
      <c r="E33" s="3"/>
      <c r="F33" s="3"/>
    </row>
    <row r="34" spans="1:6">
      <c r="A34" s="34" t="s">
        <v>63</v>
      </c>
    </row>
    <row r="35" spans="1:6">
      <c r="A35" s="34" t="s">
        <v>64</v>
      </c>
    </row>
    <row r="36" spans="1:6">
      <c r="A36" s="34" t="s">
        <v>131</v>
      </c>
    </row>
    <row r="37" spans="1:6">
      <c r="A37" s="34" t="s">
        <v>169</v>
      </c>
    </row>
    <row r="38" spans="1:6">
      <c r="A38" s="34" t="s">
        <v>167</v>
      </c>
    </row>
    <row r="39" spans="1:6">
      <c r="A39" s="34" t="s">
        <v>157</v>
      </c>
    </row>
    <row r="40" spans="1:6">
      <c r="A40" s="34"/>
    </row>
    <row r="41" spans="1:6">
      <c r="A41" s="34"/>
    </row>
  </sheetData>
  <mergeCells count="1">
    <mergeCell ref="A2:F2"/>
  </mergeCells>
  <phoneticPr fontId="9"/>
  <pageMargins left="0.70866141732283472" right="0.70866141732283472" top="0.74803149606299213" bottom="0.74803149606299213" header="0.31496062992125984" footer="0.31496062992125984"/>
  <pageSetup paperSize="9" scale="6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F40"/>
  <sheetViews>
    <sheetView showGridLines="0" zoomScale="60" zoomScaleNormal="60" workbookViewId="0"/>
  </sheetViews>
  <sheetFormatPr defaultRowHeight="13.5"/>
  <cols>
    <col min="1" max="1" width="35.375" bestFit="1" customWidth="1"/>
    <col min="2" max="6" width="14.625" customWidth="1"/>
  </cols>
  <sheetData>
    <row r="1" spans="1:6" ht="33" customHeight="1">
      <c r="F1" s="12" t="s">
        <v>128</v>
      </c>
    </row>
    <row r="2" spans="1:6" ht="50.1" customHeight="1">
      <c r="A2" s="383" t="s">
        <v>146</v>
      </c>
      <c r="B2" s="375"/>
      <c r="C2" s="375"/>
      <c r="D2" s="375"/>
      <c r="E2" s="375"/>
      <c r="F2" s="375"/>
    </row>
    <row r="3" spans="1:6" s="2" customFormat="1" ht="18.75" customHeight="1">
      <c r="A3" s="35" t="s">
        <v>152</v>
      </c>
      <c r="B3" s="24"/>
      <c r="C3" s="24"/>
      <c r="D3" s="24"/>
      <c r="E3" s="24"/>
      <c r="F3" s="24"/>
    </row>
    <row r="4" spans="1:6" s="2" customFormat="1" ht="18.75" customHeight="1">
      <c r="A4" s="35" t="s">
        <v>153</v>
      </c>
      <c r="B4" s="24"/>
      <c r="C4" s="24"/>
      <c r="D4" s="24"/>
      <c r="E4" s="24"/>
      <c r="F4" s="24"/>
    </row>
    <row r="5" spans="1:6" s="5" customFormat="1" ht="18.75" customHeight="1">
      <c r="A5" s="35" t="s">
        <v>103</v>
      </c>
    </row>
    <row r="6" spans="1:6" s="5" customFormat="1" ht="18.75" customHeight="1">
      <c r="A6" s="35"/>
    </row>
    <row r="7" spans="1:6" s="14" customFormat="1" ht="18.75" customHeight="1">
      <c r="A7" s="5" t="s">
        <v>104</v>
      </c>
    </row>
    <row r="8" spans="1:6" s="14" customFormat="1" ht="18.75" customHeight="1">
      <c r="A8" s="14" t="s">
        <v>29</v>
      </c>
    </row>
    <row r="9" spans="1:6" s="14" customFormat="1" ht="18.75" customHeight="1">
      <c r="F9" s="16" t="s">
        <v>9</v>
      </c>
    </row>
    <row r="10" spans="1:6" s="18" customFormat="1" ht="22.5" customHeight="1">
      <c r="A10" s="17" t="s">
        <v>0</v>
      </c>
      <c r="B10" s="17" t="s">
        <v>8</v>
      </c>
      <c r="C10" s="6" t="s">
        <v>52</v>
      </c>
      <c r="D10" s="6" t="s">
        <v>53</v>
      </c>
      <c r="E10" s="6" t="s">
        <v>54</v>
      </c>
      <c r="F10" s="6" t="s">
        <v>127</v>
      </c>
    </row>
    <row r="11" spans="1:6" s="5" customFormat="1" ht="22.5" customHeight="1">
      <c r="A11" s="19" t="s">
        <v>10</v>
      </c>
      <c r="B11" s="19">
        <f t="shared" ref="B11:B27" si="0">SUM(C11:F11)</f>
        <v>0</v>
      </c>
      <c r="C11" s="19">
        <f>SUM(C12:C14)</f>
        <v>0</v>
      </c>
      <c r="D11" s="19">
        <f t="shared" ref="D11:E11" si="1">SUM(D12:D14)</f>
        <v>0</v>
      </c>
      <c r="E11" s="19">
        <f t="shared" si="1"/>
        <v>0</v>
      </c>
      <c r="F11" s="19">
        <f>SUM(F12:F14)</f>
        <v>0</v>
      </c>
    </row>
    <row r="12" spans="1:6" s="5" customFormat="1" ht="22.5" customHeight="1">
      <c r="A12" s="20" t="s">
        <v>11</v>
      </c>
      <c r="B12" s="20">
        <f t="shared" si="0"/>
        <v>0</v>
      </c>
      <c r="C12" s="20"/>
      <c r="D12" s="20"/>
      <c r="E12" s="20"/>
      <c r="F12" s="20"/>
    </row>
    <row r="13" spans="1:6" s="5" customFormat="1" ht="22.5" customHeight="1">
      <c r="A13" s="20" t="s">
        <v>12</v>
      </c>
      <c r="B13" s="20">
        <f t="shared" si="0"/>
        <v>0</v>
      </c>
      <c r="C13" s="20"/>
      <c r="D13" s="20"/>
      <c r="E13" s="20"/>
      <c r="F13" s="20"/>
    </row>
    <row r="14" spans="1:6" s="5" customFormat="1" ht="22.5" customHeight="1">
      <c r="A14" s="22" t="s">
        <v>13</v>
      </c>
      <c r="B14" s="22">
        <f t="shared" si="0"/>
        <v>0</v>
      </c>
      <c r="C14" s="22"/>
      <c r="D14" s="22"/>
      <c r="E14" s="22"/>
      <c r="F14" s="22"/>
    </row>
    <row r="15" spans="1:6" s="5" customFormat="1" ht="22.5" customHeight="1">
      <c r="A15" s="19" t="s">
        <v>14</v>
      </c>
      <c r="B15" s="19">
        <f t="shared" si="0"/>
        <v>0</v>
      </c>
      <c r="C15" s="19">
        <f>SUM(C16:C17)</f>
        <v>0</v>
      </c>
      <c r="D15" s="19">
        <f t="shared" ref="D15:E15" si="2">SUM(D16:D17)</f>
        <v>0</v>
      </c>
      <c r="E15" s="19">
        <f t="shared" si="2"/>
        <v>0</v>
      </c>
      <c r="F15" s="19">
        <f>SUM(F16:F17)</f>
        <v>0</v>
      </c>
    </row>
    <row r="16" spans="1:6" s="5" customFormat="1" ht="22.5" customHeight="1">
      <c r="A16" s="20" t="s">
        <v>15</v>
      </c>
      <c r="B16" s="20">
        <f t="shared" si="0"/>
        <v>0</v>
      </c>
      <c r="C16" s="20"/>
      <c r="D16" s="20"/>
      <c r="E16" s="20"/>
      <c r="F16" s="20"/>
    </row>
    <row r="17" spans="1:6" s="5" customFormat="1" ht="22.5" customHeight="1">
      <c r="A17" s="22" t="s">
        <v>16</v>
      </c>
      <c r="B17" s="22">
        <f t="shared" si="0"/>
        <v>0</v>
      </c>
      <c r="C17" s="22"/>
      <c r="D17" s="22"/>
      <c r="E17" s="22"/>
      <c r="F17" s="22"/>
    </row>
    <row r="18" spans="1:6" s="5" customFormat="1" ht="22.5" customHeight="1">
      <c r="A18" s="20" t="s">
        <v>17</v>
      </c>
      <c r="B18" s="20">
        <f t="shared" si="0"/>
        <v>0</v>
      </c>
      <c r="C18" s="20">
        <f>SUM(C19:C22)</f>
        <v>0</v>
      </c>
      <c r="D18" s="20">
        <f t="shared" ref="D18:E18" si="3">SUM(D19:D22)</f>
        <v>0</v>
      </c>
      <c r="E18" s="20">
        <f t="shared" si="3"/>
        <v>0</v>
      </c>
      <c r="F18" s="20">
        <f>SUM(F19:F22)</f>
        <v>0</v>
      </c>
    </row>
    <row r="19" spans="1:6" s="5" customFormat="1" ht="22.5" customHeight="1">
      <c r="A19" s="20" t="s">
        <v>18</v>
      </c>
      <c r="B19" s="20">
        <f t="shared" si="0"/>
        <v>0</v>
      </c>
      <c r="C19" s="20"/>
      <c r="D19" s="20"/>
      <c r="E19" s="20"/>
      <c r="F19" s="20"/>
    </row>
    <row r="20" spans="1:6" s="5" customFormat="1" ht="22.5" customHeight="1">
      <c r="A20" s="20" t="s">
        <v>19</v>
      </c>
      <c r="B20" s="20">
        <f t="shared" si="0"/>
        <v>0</v>
      </c>
      <c r="C20" s="20"/>
      <c r="D20" s="20"/>
      <c r="E20" s="20"/>
      <c r="F20" s="20"/>
    </row>
    <row r="21" spans="1:6" s="5" customFormat="1" ht="22.5" customHeight="1">
      <c r="A21" s="20" t="s">
        <v>20</v>
      </c>
      <c r="B21" s="20">
        <f t="shared" si="0"/>
        <v>0</v>
      </c>
      <c r="C21" s="20"/>
      <c r="D21" s="20"/>
      <c r="E21" s="20"/>
      <c r="F21" s="20"/>
    </row>
    <row r="22" spans="1:6" s="5" customFormat="1" ht="22.5" customHeight="1">
      <c r="A22" s="20" t="s">
        <v>21</v>
      </c>
      <c r="B22" s="20">
        <f t="shared" si="0"/>
        <v>0</v>
      </c>
      <c r="C22" s="20"/>
      <c r="D22" s="20"/>
      <c r="E22" s="20"/>
      <c r="F22" s="20"/>
    </row>
    <row r="23" spans="1:6" s="5" customFormat="1" ht="22.5" customHeight="1">
      <c r="A23" s="25" t="s">
        <v>30</v>
      </c>
      <c r="B23" s="10">
        <f t="shared" si="0"/>
        <v>0</v>
      </c>
      <c r="C23" s="10">
        <f>SUM(C11,C15,C18)</f>
        <v>0</v>
      </c>
      <c r="D23" s="10">
        <f t="shared" ref="D23:E23" si="4">SUM(D11,D15,D18)</f>
        <v>0</v>
      </c>
      <c r="E23" s="10">
        <f t="shared" si="4"/>
        <v>0</v>
      </c>
      <c r="F23" s="10">
        <f>SUM(F11,F15,F18)</f>
        <v>0</v>
      </c>
    </row>
    <row r="24" spans="1:6" s="5" customFormat="1" ht="22.5" customHeight="1">
      <c r="A24" s="8" t="s">
        <v>22</v>
      </c>
      <c r="B24" s="8">
        <f t="shared" si="0"/>
        <v>0</v>
      </c>
      <c r="C24" s="21">
        <f>ROUNDDOWN((C23/1000*10%),0)*1000</f>
        <v>0</v>
      </c>
      <c r="D24" s="21">
        <f t="shared" ref="D24:E24" si="5">ROUNDDOWN((D23/1000*10%),0)*1000</f>
        <v>0</v>
      </c>
      <c r="E24" s="21">
        <f t="shared" si="5"/>
        <v>0</v>
      </c>
      <c r="F24" s="21">
        <f>ROUNDDOWN((F23/1000*10%),0)*1000</f>
        <v>0</v>
      </c>
    </row>
    <row r="25" spans="1:6" s="5" customFormat="1" ht="22.5" customHeight="1">
      <c r="A25" s="6" t="s">
        <v>116</v>
      </c>
      <c r="B25" s="8">
        <f t="shared" si="0"/>
        <v>0</v>
      </c>
      <c r="C25" s="8">
        <f>SUM(C23:C24)</f>
        <v>0</v>
      </c>
      <c r="D25" s="8">
        <f>SUM(D23:D24)</f>
        <v>0</v>
      </c>
      <c r="E25" s="8">
        <f>SUM(E23:E24)</f>
        <v>0</v>
      </c>
      <c r="F25" s="8">
        <f>SUM(F23:F24)</f>
        <v>0</v>
      </c>
    </row>
    <row r="26" spans="1:6" s="5" customFormat="1" ht="22.5" customHeight="1">
      <c r="A26" s="23" t="s">
        <v>191</v>
      </c>
      <c r="B26" s="8">
        <f t="shared" si="0"/>
        <v>0</v>
      </c>
      <c r="C26" s="21">
        <f>ROUNDDOWN(C25*$B$40,0)</f>
        <v>0</v>
      </c>
      <c r="D26" s="21">
        <f t="shared" ref="D26:F26" si="6">ROUNDDOWN(D25*$B$40,0)</f>
        <v>0</v>
      </c>
      <c r="E26" s="21">
        <f t="shared" si="6"/>
        <v>0</v>
      </c>
      <c r="F26" s="21">
        <f t="shared" si="6"/>
        <v>0</v>
      </c>
    </row>
    <row r="27" spans="1:6" s="5" customFormat="1" ht="22.5" customHeight="1">
      <c r="A27" s="6" t="s">
        <v>31</v>
      </c>
      <c r="B27" s="8">
        <f t="shared" si="0"/>
        <v>0</v>
      </c>
      <c r="C27" s="8">
        <f>SUM(C25:C26)</f>
        <v>0</v>
      </c>
      <c r="D27" s="8">
        <f t="shared" ref="D27:E27" si="7">SUM(D25:D26)</f>
        <v>0</v>
      </c>
      <c r="E27" s="8">
        <f t="shared" si="7"/>
        <v>0</v>
      </c>
      <c r="F27" s="8">
        <f>SUM(F25:F26)</f>
        <v>0</v>
      </c>
    </row>
    <row r="28" spans="1:6" s="5" customFormat="1" ht="22.5" customHeight="1">
      <c r="A28" s="30"/>
      <c r="B28" s="15"/>
      <c r="C28" s="15"/>
      <c r="D28" s="15"/>
      <c r="E28" s="15"/>
      <c r="F28" s="15"/>
    </row>
    <row r="29" spans="1:6">
      <c r="A29" t="s">
        <v>55</v>
      </c>
    </row>
    <row r="30" spans="1:6">
      <c r="A30" s="34" t="s">
        <v>56</v>
      </c>
    </row>
    <row r="31" spans="1:6">
      <c r="A31" s="13" t="s">
        <v>147</v>
      </c>
      <c r="B31" s="3"/>
      <c r="C31" s="3"/>
      <c r="D31" s="3"/>
      <c r="E31" s="3"/>
      <c r="F31" s="3"/>
    </row>
    <row r="32" spans="1:6">
      <c r="A32" s="34" t="s">
        <v>117</v>
      </c>
    </row>
    <row r="33" spans="1:2">
      <c r="A33" s="34" t="s">
        <v>148</v>
      </c>
    </row>
    <row r="34" spans="1:2">
      <c r="A34" s="34" t="s">
        <v>149</v>
      </c>
    </row>
    <row r="35" spans="1:2">
      <c r="A35" s="34" t="s">
        <v>150</v>
      </c>
    </row>
    <row r="36" spans="1:2">
      <c r="A36" s="34" t="s">
        <v>151</v>
      </c>
    </row>
    <row r="37" spans="1:2">
      <c r="A37" s="34" t="s">
        <v>118</v>
      </c>
    </row>
    <row r="38" spans="1:2">
      <c r="A38" t="s">
        <v>194</v>
      </c>
    </row>
    <row r="40" spans="1:2">
      <c r="A40" s="68" t="s">
        <v>189</v>
      </c>
      <c r="B40" s="67">
        <v>0.1</v>
      </c>
    </row>
  </sheetData>
  <mergeCells count="1">
    <mergeCell ref="A2:F2"/>
  </mergeCells>
  <phoneticPr fontId="9"/>
  <hyperlinks>
    <hyperlink ref="A3" r:id="rId1" display="http://www.nedo.go.jp/content/100641154.pdf"/>
    <hyperlink ref="A4" r:id="rId2" display="http://www.nedo.go.jp/content/100641154.pdf"/>
  </hyperlinks>
  <pageMargins left="0.70866141732283472" right="0.70866141732283472" top="0.74803149606299213" bottom="0.74803149606299213" header="0.31496062992125984" footer="0.31496062992125984"/>
  <pageSetup paperSize="9" scale="69" orientation="landscape"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F32"/>
  <sheetViews>
    <sheetView showGridLines="0" zoomScale="60" zoomScaleNormal="60" workbookViewId="0"/>
  </sheetViews>
  <sheetFormatPr defaultRowHeight="13.5"/>
  <cols>
    <col min="1" max="1" width="35.375" bestFit="1" customWidth="1"/>
    <col min="2" max="6" width="14.625" customWidth="1"/>
  </cols>
  <sheetData>
    <row r="1" spans="1:6" ht="33" customHeight="1">
      <c r="F1" s="12" t="s">
        <v>128</v>
      </c>
    </row>
    <row r="2" spans="1:6" ht="50.1" customHeight="1">
      <c r="A2" s="384" t="s">
        <v>142</v>
      </c>
      <c r="B2" s="385"/>
      <c r="C2" s="385"/>
      <c r="D2" s="385"/>
      <c r="E2" s="385"/>
      <c r="F2" s="385"/>
    </row>
    <row r="3" spans="1:6" s="5" customFormat="1" ht="18.75" customHeight="1">
      <c r="A3" s="35" t="s">
        <v>143</v>
      </c>
    </row>
    <row r="4" spans="1:6" s="5" customFormat="1" ht="18.75" customHeight="1">
      <c r="A4" s="35" t="s">
        <v>144</v>
      </c>
    </row>
    <row r="5" spans="1:6" s="5" customFormat="1" ht="18.75" customHeight="1">
      <c r="A5" s="35" t="s">
        <v>103</v>
      </c>
    </row>
    <row r="6" spans="1:6" s="5" customFormat="1" ht="18.75" customHeight="1">
      <c r="A6" s="32"/>
    </row>
    <row r="7" spans="1:6" s="14" customFormat="1" ht="18.75" customHeight="1">
      <c r="A7" s="5" t="s">
        <v>104</v>
      </c>
    </row>
    <row r="8" spans="1:6" s="14" customFormat="1" ht="18.75" customHeight="1">
      <c r="A8" s="14" t="s">
        <v>51</v>
      </c>
    </row>
    <row r="9" spans="1:6" s="14" customFormat="1" ht="18.75" customHeight="1">
      <c r="F9" s="16" t="s">
        <v>9</v>
      </c>
    </row>
    <row r="10" spans="1:6" s="18" customFormat="1" ht="22.5" customHeight="1">
      <c r="A10" s="17" t="s">
        <v>0</v>
      </c>
      <c r="B10" s="17" t="s">
        <v>8</v>
      </c>
      <c r="C10" s="6" t="s">
        <v>52</v>
      </c>
      <c r="D10" s="6" t="s">
        <v>53</v>
      </c>
      <c r="E10" s="6" t="s">
        <v>54</v>
      </c>
      <c r="F10" s="6" t="s">
        <v>127</v>
      </c>
    </row>
    <row r="11" spans="1:6" s="5" customFormat="1" ht="22.5" customHeight="1">
      <c r="A11" s="19" t="s">
        <v>1</v>
      </c>
      <c r="B11" s="19">
        <f t="shared" ref="B11:B21" si="0">SUM(C11:F11)</f>
        <v>0</v>
      </c>
      <c r="C11" s="19">
        <f>SUM(C12:C17)</f>
        <v>0</v>
      </c>
      <c r="D11" s="19">
        <f t="shared" ref="D11:F11" si="1">SUM(D12:D17)</f>
        <v>0</v>
      </c>
      <c r="E11" s="19">
        <f t="shared" si="1"/>
        <v>0</v>
      </c>
      <c r="F11" s="19">
        <f t="shared" si="1"/>
        <v>0</v>
      </c>
    </row>
    <row r="12" spans="1:6" s="5" customFormat="1" ht="22.5" customHeight="1">
      <c r="A12" s="20" t="s">
        <v>45</v>
      </c>
      <c r="B12" s="20">
        <f t="shared" si="0"/>
        <v>0</v>
      </c>
      <c r="C12" s="20">
        <v>0</v>
      </c>
      <c r="D12" s="20">
        <v>0</v>
      </c>
      <c r="E12" s="20">
        <v>0</v>
      </c>
      <c r="F12" s="20">
        <v>0</v>
      </c>
    </row>
    <row r="13" spans="1:6" s="5" customFormat="1" ht="22.5" customHeight="1">
      <c r="A13" s="20" t="s">
        <v>46</v>
      </c>
      <c r="B13" s="20">
        <f t="shared" si="0"/>
        <v>0</v>
      </c>
      <c r="C13" s="20">
        <v>0</v>
      </c>
      <c r="D13" s="20">
        <v>0</v>
      </c>
      <c r="E13" s="20">
        <v>0</v>
      </c>
      <c r="F13" s="20">
        <v>0</v>
      </c>
    </row>
    <row r="14" spans="1:6" s="15" customFormat="1" ht="22.5" customHeight="1">
      <c r="A14" s="20" t="s">
        <v>47</v>
      </c>
      <c r="B14" s="20">
        <f t="shared" si="0"/>
        <v>0</v>
      </c>
      <c r="C14" s="20">
        <v>0</v>
      </c>
      <c r="D14" s="20">
        <v>0</v>
      </c>
      <c r="E14" s="20">
        <v>0</v>
      </c>
      <c r="F14" s="20">
        <v>0</v>
      </c>
    </row>
    <row r="15" spans="1:6" s="15" customFormat="1" ht="22.5" customHeight="1">
      <c r="A15" s="20" t="s">
        <v>48</v>
      </c>
      <c r="B15" s="20">
        <f t="shared" si="0"/>
        <v>0</v>
      </c>
      <c r="C15" s="20">
        <v>0</v>
      </c>
      <c r="D15" s="20">
        <v>0</v>
      </c>
      <c r="E15" s="20">
        <v>0</v>
      </c>
      <c r="F15" s="20">
        <v>0</v>
      </c>
    </row>
    <row r="16" spans="1:6" s="15" customFormat="1" ht="22.5" customHeight="1">
      <c r="A16" s="20" t="s">
        <v>49</v>
      </c>
      <c r="B16" s="20">
        <f t="shared" si="0"/>
        <v>0</v>
      </c>
      <c r="C16" s="20">
        <v>0</v>
      </c>
      <c r="D16" s="20">
        <v>0</v>
      </c>
      <c r="E16" s="20">
        <v>0</v>
      </c>
      <c r="F16" s="20">
        <v>0</v>
      </c>
    </row>
    <row r="17" spans="1:6" s="5" customFormat="1" ht="22.5" customHeight="1">
      <c r="A17" s="22" t="s">
        <v>50</v>
      </c>
      <c r="B17" s="22">
        <f t="shared" si="0"/>
        <v>0</v>
      </c>
      <c r="C17" s="20">
        <v>0</v>
      </c>
      <c r="D17" s="20">
        <v>0</v>
      </c>
      <c r="E17" s="20">
        <v>0</v>
      </c>
      <c r="F17" s="20">
        <v>0</v>
      </c>
    </row>
    <row r="18" spans="1:6" s="5" customFormat="1" ht="22.5" customHeight="1">
      <c r="A18" s="8" t="s">
        <v>6</v>
      </c>
      <c r="B18" s="8">
        <f t="shared" si="0"/>
        <v>0</v>
      </c>
      <c r="C18" s="21">
        <f>ROUNDDOWN((C11/1000*10%),0)*1000</f>
        <v>0</v>
      </c>
      <c r="D18" s="21">
        <f t="shared" ref="D18:F18" si="2">ROUNDDOWN((D11/1000*10%),0)*1000</f>
        <v>0</v>
      </c>
      <c r="E18" s="21">
        <f t="shared" si="2"/>
        <v>0</v>
      </c>
      <c r="F18" s="21">
        <f t="shared" si="2"/>
        <v>0</v>
      </c>
    </row>
    <row r="19" spans="1:6" s="5" customFormat="1" ht="22.5" customHeight="1">
      <c r="A19" s="6" t="s">
        <v>40</v>
      </c>
      <c r="B19" s="8">
        <f t="shared" si="0"/>
        <v>0</v>
      </c>
      <c r="C19" s="8">
        <f>SUM(C18+C11)</f>
        <v>0</v>
      </c>
      <c r="D19" s="8">
        <f t="shared" ref="D19:F19" si="3">SUM(D18+D11)</f>
        <v>0</v>
      </c>
      <c r="E19" s="8">
        <f t="shared" si="3"/>
        <v>0</v>
      </c>
      <c r="F19" s="8">
        <f t="shared" si="3"/>
        <v>0</v>
      </c>
    </row>
    <row r="20" spans="1:6" s="5" customFormat="1" ht="22.5" customHeight="1">
      <c r="A20" s="23" t="s">
        <v>191</v>
      </c>
      <c r="B20" s="8">
        <f t="shared" si="0"/>
        <v>0</v>
      </c>
      <c r="C20" s="21">
        <f>ROUNDDOWN(C19*$B$32,0)</f>
        <v>0</v>
      </c>
      <c r="D20" s="21">
        <f t="shared" ref="D20:F20" si="4">ROUNDDOWN(D19*$B$32,0)</f>
        <v>0</v>
      </c>
      <c r="E20" s="21">
        <f t="shared" si="4"/>
        <v>0</v>
      </c>
      <c r="F20" s="21">
        <f t="shared" si="4"/>
        <v>0</v>
      </c>
    </row>
    <row r="21" spans="1:6" s="5" customFormat="1" ht="22.5" customHeight="1">
      <c r="A21" s="6" t="s">
        <v>31</v>
      </c>
      <c r="B21" s="8">
        <f t="shared" si="0"/>
        <v>0</v>
      </c>
      <c r="C21" s="8">
        <f>SUM(C19:C20)</f>
        <v>0</v>
      </c>
      <c r="D21" s="8">
        <f t="shared" ref="D21:E21" si="5">SUM(D19:D20)</f>
        <v>0</v>
      </c>
      <c r="E21" s="8">
        <f t="shared" si="5"/>
        <v>0</v>
      </c>
      <c r="F21" s="8">
        <f>SUM(F19:F20)</f>
        <v>0</v>
      </c>
    </row>
    <row r="22" spans="1:6" s="5" customFormat="1" ht="22.5" customHeight="1">
      <c r="A22" s="30"/>
      <c r="B22" s="15"/>
      <c r="C22" s="15"/>
      <c r="D22" s="15"/>
      <c r="E22" s="15"/>
      <c r="F22" s="15"/>
    </row>
    <row r="23" spans="1:6" s="56" customFormat="1">
      <c r="A23" s="56" t="s">
        <v>57</v>
      </c>
    </row>
    <row r="24" spans="1:6" s="56" customFormat="1">
      <c r="A24" s="56" t="s">
        <v>145</v>
      </c>
    </row>
    <row r="25" spans="1:6" s="56" customFormat="1">
      <c r="A25" s="56" t="s">
        <v>224</v>
      </c>
    </row>
    <row r="26" spans="1:6" s="56" customFormat="1">
      <c r="A26" s="56" t="s">
        <v>58</v>
      </c>
    </row>
    <row r="27" spans="1:6" s="56" customFormat="1">
      <c r="A27" s="56" t="s">
        <v>225</v>
      </c>
    </row>
    <row r="28" spans="1:6" s="56" customFormat="1">
      <c r="A28" s="56" t="s">
        <v>223</v>
      </c>
    </row>
    <row r="29" spans="1:6" s="56" customFormat="1">
      <c r="A29" s="56" t="s">
        <v>226</v>
      </c>
    </row>
    <row r="30" spans="1:6">
      <c r="A30" t="s">
        <v>194</v>
      </c>
    </row>
    <row r="32" spans="1:6">
      <c r="A32" s="68" t="s">
        <v>189</v>
      </c>
      <c r="B32" s="67">
        <v>0.1</v>
      </c>
    </row>
  </sheetData>
  <mergeCells count="1">
    <mergeCell ref="A2:F2"/>
  </mergeCells>
  <phoneticPr fontId="9"/>
  <hyperlinks>
    <hyperlink ref="A3" r:id="rId1" display="http://www.nedo.go.jp/content/100640939.pdf"/>
    <hyperlink ref="A4" r:id="rId2" display="http://www.nedo.go.jp/content/100640939.pdf"/>
  </hyperlinks>
  <pageMargins left="0.70866141732283472" right="0.70866141732283472" top="0.74803149606299213" bottom="0.74803149606299213" header="0.31496062992125984" footer="0.31496062992125984"/>
  <pageSetup paperSize="9" scale="91" orientation="landscape"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F28"/>
  <sheetViews>
    <sheetView showGridLines="0" zoomScale="60" zoomScaleNormal="60" workbookViewId="0"/>
  </sheetViews>
  <sheetFormatPr defaultRowHeight="13.5"/>
  <cols>
    <col min="1" max="1" width="35.375" bestFit="1" customWidth="1"/>
    <col min="2" max="6" width="14.625" customWidth="1"/>
  </cols>
  <sheetData>
    <row r="1" spans="1:6" ht="33" customHeight="1">
      <c r="F1" s="12" t="s">
        <v>128</v>
      </c>
    </row>
    <row r="2" spans="1:6" ht="50.1" customHeight="1">
      <c r="A2" s="384" t="s">
        <v>137</v>
      </c>
      <c r="B2" s="385"/>
      <c r="C2" s="385"/>
      <c r="D2" s="385"/>
      <c r="E2" s="385"/>
      <c r="F2" s="385"/>
    </row>
    <row r="3" spans="1:6" s="5" customFormat="1" ht="18.75" customHeight="1">
      <c r="A3" s="36" t="s">
        <v>138</v>
      </c>
    </row>
    <row r="4" spans="1:6" s="5" customFormat="1" ht="18.75" customHeight="1">
      <c r="A4" s="36" t="s">
        <v>139</v>
      </c>
    </row>
    <row r="5" spans="1:6" s="5" customFormat="1" ht="18.75" customHeight="1">
      <c r="A5" s="35" t="s">
        <v>103</v>
      </c>
    </row>
    <row r="6" spans="1:6" s="5" customFormat="1" ht="18.75" customHeight="1"/>
    <row r="7" spans="1:6" s="14" customFormat="1" ht="18.75" customHeight="1">
      <c r="A7" s="14" t="s">
        <v>104</v>
      </c>
    </row>
    <row r="8" spans="1:6" s="14" customFormat="1" ht="18.75" customHeight="1">
      <c r="A8" s="14" t="s">
        <v>27</v>
      </c>
    </row>
    <row r="9" spans="1:6" s="14" customFormat="1" ht="18.75" customHeight="1">
      <c r="F9" s="16" t="s">
        <v>9</v>
      </c>
    </row>
    <row r="10" spans="1:6" s="18" customFormat="1" ht="31.5" customHeight="1">
      <c r="A10" s="17" t="s">
        <v>0</v>
      </c>
      <c r="B10" s="17" t="s">
        <v>8</v>
      </c>
      <c r="C10" s="6" t="s">
        <v>52</v>
      </c>
      <c r="D10" s="6" t="s">
        <v>53</v>
      </c>
      <c r="E10" s="6" t="s">
        <v>54</v>
      </c>
      <c r="F10" s="6" t="s">
        <v>127</v>
      </c>
    </row>
    <row r="11" spans="1:6" s="5" customFormat="1" ht="31.5" customHeight="1">
      <c r="A11" s="19" t="s">
        <v>1</v>
      </c>
      <c r="B11" s="19">
        <f t="shared" ref="B11:B18" si="0">SUM(C11:F11)</f>
        <v>0</v>
      </c>
      <c r="C11" s="19">
        <f>SUM(C12:C15)</f>
        <v>0</v>
      </c>
      <c r="D11" s="19">
        <f t="shared" ref="D11:E11" si="1">SUM(D12:D15)</f>
        <v>0</v>
      </c>
      <c r="E11" s="19">
        <f t="shared" si="1"/>
        <v>0</v>
      </c>
      <c r="F11" s="19">
        <f>SUM(F12:F15)</f>
        <v>0</v>
      </c>
    </row>
    <row r="12" spans="1:6" s="5" customFormat="1" ht="31.5" customHeight="1">
      <c r="A12" s="20" t="s">
        <v>2</v>
      </c>
      <c r="B12" s="20">
        <f t="shared" si="0"/>
        <v>0</v>
      </c>
      <c r="C12" s="20"/>
      <c r="D12" s="20"/>
      <c r="E12" s="20"/>
      <c r="F12" s="20"/>
    </row>
    <row r="13" spans="1:6" s="5" customFormat="1" ht="31.5" customHeight="1">
      <c r="A13" s="20" t="s">
        <v>3</v>
      </c>
      <c r="B13" s="20">
        <f t="shared" si="0"/>
        <v>0</v>
      </c>
      <c r="C13" s="20"/>
      <c r="D13" s="20"/>
      <c r="E13" s="20"/>
      <c r="F13" s="20"/>
    </row>
    <row r="14" spans="1:6" s="5" customFormat="1" ht="31.5" customHeight="1">
      <c r="A14" s="20" t="s">
        <v>4</v>
      </c>
      <c r="B14" s="20">
        <f t="shared" si="0"/>
        <v>0</v>
      </c>
      <c r="C14" s="20"/>
      <c r="D14" s="20"/>
      <c r="E14" s="20"/>
      <c r="F14" s="20"/>
    </row>
    <row r="15" spans="1:6" s="5" customFormat="1" ht="31.5" customHeight="1">
      <c r="A15" s="20" t="s">
        <v>5</v>
      </c>
      <c r="B15" s="20">
        <f t="shared" si="0"/>
        <v>0</v>
      </c>
      <c r="C15" s="20"/>
      <c r="D15" s="20"/>
      <c r="E15" s="20"/>
      <c r="F15" s="20"/>
    </row>
    <row r="16" spans="1:6" s="5" customFormat="1" ht="31.5" customHeight="1">
      <c r="A16" s="8" t="s">
        <v>6</v>
      </c>
      <c r="B16" s="8">
        <f t="shared" si="0"/>
        <v>0</v>
      </c>
      <c r="C16" s="21">
        <f>ROUNDDOWN((C11/1000*15%),0)*1000</f>
        <v>0</v>
      </c>
      <c r="D16" s="21">
        <f t="shared" ref="D16:E16" si="2">ROUNDDOWN((D11/1000*15%),0)*1000</f>
        <v>0</v>
      </c>
      <c r="E16" s="21">
        <f t="shared" si="2"/>
        <v>0</v>
      </c>
      <c r="F16" s="21">
        <f>ROUNDDOWN((F11/1000*15%),0)*1000</f>
        <v>0</v>
      </c>
    </row>
    <row r="17" spans="1:6" s="5" customFormat="1" ht="31.5" customHeight="1">
      <c r="A17" s="6" t="s">
        <v>119</v>
      </c>
      <c r="B17" s="8">
        <f t="shared" si="0"/>
        <v>0</v>
      </c>
      <c r="C17" s="8">
        <f>SUM(C11,C16)</f>
        <v>0</v>
      </c>
      <c r="D17" s="8">
        <f t="shared" ref="D17:F17" si="3">SUM(D11,D16)</f>
        <v>0</v>
      </c>
      <c r="E17" s="8">
        <f t="shared" si="3"/>
        <v>0</v>
      </c>
      <c r="F17" s="8">
        <f t="shared" si="3"/>
        <v>0</v>
      </c>
    </row>
    <row r="18" spans="1:6" s="5" customFormat="1" ht="31.5" customHeight="1">
      <c r="A18" s="29" t="s">
        <v>190</v>
      </c>
      <c r="B18" s="8">
        <f t="shared" si="0"/>
        <v>0</v>
      </c>
      <c r="C18" s="21">
        <f>ROUNDDOWN(C17-(C17/(100%+$B$28)),0)</f>
        <v>0</v>
      </c>
      <c r="D18" s="21">
        <f t="shared" ref="D18:F18" si="4">ROUNDDOWN(D17-(D17/(100%+$B$28)),0)</f>
        <v>0</v>
      </c>
      <c r="E18" s="21">
        <f t="shared" si="4"/>
        <v>0</v>
      </c>
      <c r="F18" s="8">
        <f t="shared" si="4"/>
        <v>0</v>
      </c>
    </row>
    <row r="19" spans="1:6" s="14" customFormat="1"/>
    <row r="20" spans="1:6">
      <c r="A20" t="s">
        <v>59</v>
      </c>
    </row>
    <row r="21" spans="1:6">
      <c r="A21" t="s">
        <v>140</v>
      </c>
    </row>
    <row r="22" spans="1:6">
      <c r="A22" t="s">
        <v>141</v>
      </c>
    </row>
    <row r="23" spans="1:6">
      <c r="A23" t="s">
        <v>60</v>
      </c>
    </row>
    <row r="24" spans="1:6">
      <c r="A24" t="s">
        <v>61</v>
      </c>
    </row>
    <row r="25" spans="1:6">
      <c r="A25" t="s">
        <v>222</v>
      </c>
    </row>
    <row r="26" spans="1:6">
      <c r="A26" t="s">
        <v>194</v>
      </c>
    </row>
    <row r="28" spans="1:6">
      <c r="A28" s="68" t="s">
        <v>189</v>
      </c>
      <c r="B28" s="67">
        <v>0.1</v>
      </c>
    </row>
  </sheetData>
  <mergeCells count="1">
    <mergeCell ref="A2:F2"/>
  </mergeCells>
  <phoneticPr fontId="9"/>
  <hyperlinks>
    <hyperlink ref="A3" r:id="rId1"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hyperlink ref="A4" r:id="rId2"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hyperlinks>
  <pageMargins left="0.70866141732283472" right="0.70866141732283472" top="0.74803149606299213" bottom="0.74803149606299213" header="0.31496062992125984" footer="0.31496062992125984"/>
  <pageSetup paperSize="9" scale="91" orientation="landscape"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F38"/>
  <sheetViews>
    <sheetView showGridLines="0" zoomScale="60" zoomScaleNormal="60" workbookViewId="0"/>
  </sheetViews>
  <sheetFormatPr defaultRowHeight="13.5"/>
  <cols>
    <col min="1" max="1" width="35.375" bestFit="1" customWidth="1"/>
    <col min="2" max="6" width="14.625" customWidth="1"/>
  </cols>
  <sheetData>
    <row r="1" spans="1:6" ht="33" customHeight="1">
      <c r="F1" s="12" t="s">
        <v>128</v>
      </c>
    </row>
    <row r="2" spans="1:6" ht="50.1" customHeight="1">
      <c r="A2" s="383" t="s">
        <v>136</v>
      </c>
      <c r="B2" s="375"/>
      <c r="C2" s="375"/>
      <c r="D2" s="375"/>
      <c r="E2" s="375"/>
      <c r="F2" s="375"/>
    </row>
    <row r="3" spans="1:6" s="2" customFormat="1" ht="18.75" customHeight="1">
      <c r="A3" s="35" t="s">
        <v>62</v>
      </c>
      <c r="B3" s="24"/>
      <c r="C3" s="24"/>
      <c r="D3" s="24"/>
      <c r="E3" s="24"/>
      <c r="F3" s="24"/>
    </row>
    <row r="4" spans="1:6" s="2" customFormat="1" ht="18.75" customHeight="1">
      <c r="A4" s="35" t="s">
        <v>132</v>
      </c>
      <c r="B4" s="24"/>
      <c r="C4" s="24"/>
      <c r="D4" s="24"/>
      <c r="E4" s="24"/>
      <c r="F4" s="24"/>
    </row>
    <row r="5" spans="1:6" s="2" customFormat="1" ht="18.75" customHeight="1">
      <c r="A5" s="35" t="s">
        <v>129</v>
      </c>
      <c r="B5" s="24"/>
      <c r="C5" s="24"/>
      <c r="D5" s="24"/>
      <c r="E5" s="24"/>
      <c r="F5" s="24"/>
    </row>
    <row r="6" spans="1:6" s="5" customFormat="1" ht="18.75" customHeight="1">
      <c r="A6" s="35" t="s">
        <v>103</v>
      </c>
    </row>
    <row r="7" spans="1:6" s="5" customFormat="1" ht="18.75" customHeight="1">
      <c r="A7" s="35"/>
    </row>
    <row r="8" spans="1:6" s="14" customFormat="1" ht="18.75" customHeight="1">
      <c r="A8" s="5" t="s">
        <v>104</v>
      </c>
    </row>
    <row r="9" spans="1:6" s="14" customFormat="1" ht="18.75" customHeight="1">
      <c r="A9" s="14" t="s">
        <v>29</v>
      </c>
    </row>
    <row r="10" spans="1:6" s="14" customFormat="1" ht="18.75" customHeight="1">
      <c r="F10" s="16" t="s">
        <v>9</v>
      </c>
    </row>
    <row r="11" spans="1:6" s="18" customFormat="1" ht="22.5" customHeight="1">
      <c r="A11" s="17" t="s">
        <v>0</v>
      </c>
      <c r="B11" s="17" t="s">
        <v>8</v>
      </c>
      <c r="C11" s="6" t="s">
        <v>52</v>
      </c>
      <c r="D11" s="6" t="s">
        <v>53</v>
      </c>
      <c r="E11" s="6" t="s">
        <v>54</v>
      </c>
      <c r="F11" s="6" t="s">
        <v>127</v>
      </c>
    </row>
    <row r="12" spans="1:6" s="5" customFormat="1" ht="22.5" customHeight="1">
      <c r="A12" s="19" t="s">
        <v>10</v>
      </c>
      <c r="B12" s="19">
        <f t="shared" ref="B12:B26" si="0">SUM(C12:F12)</f>
        <v>0</v>
      </c>
      <c r="C12" s="19">
        <f>SUM(C13:C15)</f>
        <v>0</v>
      </c>
      <c r="D12" s="19">
        <f t="shared" ref="D12:E12" si="1">SUM(D13:D15)</f>
        <v>0</v>
      </c>
      <c r="E12" s="19">
        <f t="shared" si="1"/>
        <v>0</v>
      </c>
      <c r="F12" s="19">
        <f>SUM(F13:F15)</f>
        <v>0</v>
      </c>
    </row>
    <row r="13" spans="1:6" s="5" customFormat="1" ht="22.5" customHeight="1">
      <c r="A13" s="20" t="s">
        <v>11</v>
      </c>
      <c r="B13" s="20">
        <f t="shared" si="0"/>
        <v>0</v>
      </c>
      <c r="C13" s="20"/>
      <c r="D13" s="20"/>
      <c r="E13" s="20"/>
      <c r="F13" s="20"/>
    </row>
    <row r="14" spans="1:6" s="5" customFormat="1" ht="22.5" customHeight="1">
      <c r="A14" s="20" t="s">
        <v>12</v>
      </c>
      <c r="B14" s="20">
        <f t="shared" si="0"/>
        <v>0</v>
      </c>
      <c r="C14" s="20"/>
      <c r="D14" s="20"/>
      <c r="E14" s="20"/>
      <c r="F14" s="20"/>
    </row>
    <row r="15" spans="1:6" s="5" customFormat="1" ht="22.5" customHeight="1">
      <c r="A15" s="22" t="s">
        <v>13</v>
      </c>
      <c r="B15" s="22">
        <f t="shared" si="0"/>
        <v>0</v>
      </c>
      <c r="C15" s="22"/>
      <c r="D15" s="22"/>
      <c r="E15" s="22"/>
      <c r="F15" s="22"/>
    </row>
    <row r="16" spans="1:6" s="5" customFormat="1" ht="22.5" customHeight="1">
      <c r="A16" s="19" t="s">
        <v>14</v>
      </c>
      <c r="B16" s="19">
        <f t="shared" si="0"/>
        <v>0</v>
      </c>
      <c r="C16" s="19">
        <f>SUM(C17:C18)</f>
        <v>0</v>
      </c>
      <c r="D16" s="19">
        <f t="shared" ref="D16:E16" si="2">SUM(D17:D18)</f>
        <v>0</v>
      </c>
      <c r="E16" s="19">
        <f t="shared" si="2"/>
        <v>0</v>
      </c>
      <c r="F16" s="19">
        <f>SUM(F17:F18)</f>
        <v>0</v>
      </c>
    </row>
    <row r="17" spans="1:6" s="5" customFormat="1" ht="22.5" customHeight="1">
      <c r="A17" s="20" t="s">
        <v>15</v>
      </c>
      <c r="B17" s="20">
        <f t="shared" si="0"/>
        <v>0</v>
      </c>
      <c r="C17" s="20"/>
      <c r="D17" s="20"/>
      <c r="E17" s="20"/>
      <c r="F17" s="20"/>
    </row>
    <row r="18" spans="1:6" s="5" customFormat="1" ht="22.5" customHeight="1">
      <c r="A18" s="22" t="s">
        <v>16</v>
      </c>
      <c r="B18" s="22">
        <f t="shared" si="0"/>
        <v>0</v>
      </c>
      <c r="C18" s="22"/>
      <c r="D18" s="22"/>
      <c r="E18" s="22"/>
      <c r="F18" s="22"/>
    </row>
    <row r="19" spans="1:6" s="5" customFormat="1" ht="22.5" customHeight="1">
      <c r="A19" s="20" t="s">
        <v>17</v>
      </c>
      <c r="B19" s="20">
        <f t="shared" si="0"/>
        <v>0</v>
      </c>
      <c r="C19" s="20">
        <f>SUM(C20:C23)</f>
        <v>0</v>
      </c>
      <c r="D19" s="20">
        <f t="shared" ref="D19:E19" si="3">SUM(D20:D23)</f>
        <v>0</v>
      </c>
      <c r="E19" s="20">
        <f t="shared" si="3"/>
        <v>0</v>
      </c>
      <c r="F19" s="20">
        <f>SUM(F20:F23)</f>
        <v>0</v>
      </c>
    </row>
    <row r="20" spans="1:6" s="5" customFormat="1" ht="22.5" customHeight="1">
      <c r="A20" s="20" t="s">
        <v>18</v>
      </c>
      <c r="B20" s="20">
        <f t="shared" si="0"/>
        <v>0</v>
      </c>
      <c r="C20" s="20"/>
      <c r="D20" s="20"/>
      <c r="E20" s="20"/>
      <c r="F20" s="20"/>
    </row>
    <row r="21" spans="1:6" s="5" customFormat="1" ht="22.5" customHeight="1">
      <c r="A21" s="20" t="s">
        <v>19</v>
      </c>
      <c r="B21" s="20">
        <f t="shared" si="0"/>
        <v>0</v>
      </c>
      <c r="C21" s="20"/>
      <c r="D21" s="20"/>
      <c r="E21" s="20"/>
      <c r="F21" s="20"/>
    </row>
    <row r="22" spans="1:6" s="5" customFormat="1" ht="22.5" customHeight="1">
      <c r="A22" s="20" t="s">
        <v>20</v>
      </c>
      <c r="B22" s="20">
        <f t="shared" si="0"/>
        <v>0</v>
      </c>
      <c r="C22" s="20"/>
      <c r="D22" s="20"/>
      <c r="E22" s="20"/>
      <c r="F22" s="20"/>
    </row>
    <row r="23" spans="1:6" s="5" customFormat="1" ht="22.5" customHeight="1">
      <c r="A23" s="20" t="s">
        <v>21</v>
      </c>
      <c r="B23" s="20">
        <f t="shared" si="0"/>
        <v>0</v>
      </c>
      <c r="C23" s="20"/>
      <c r="D23" s="20"/>
      <c r="E23" s="20"/>
      <c r="F23" s="20"/>
    </row>
    <row r="24" spans="1:6" s="5" customFormat="1" ht="22.5" customHeight="1">
      <c r="A24" s="25" t="s">
        <v>30</v>
      </c>
      <c r="B24" s="10">
        <f t="shared" si="0"/>
        <v>0</v>
      </c>
      <c r="C24" s="10">
        <f>SUM(C12,C16,C19)</f>
        <v>0</v>
      </c>
      <c r="D24" s="10">
        <f t="shared" ref="D24:E24" si="4">SUM(D12,D16,D19)</f>
        <v>0</v>
      </c>
      <c r="E24" s="10">
        <f t="shared" si="4"/>
        <v>0</v>
      </c>
      <c r="F24" s="10">
        <f>SUM(F12,F16,F19)</f>
        <v>0</v>
      </c>
    </row>
    <row r="25" spans="1:6" s="5" customFormat="1" ht="22.5" customHeight="1">
      <c r="A25" s="8" t="s">
        <v>22</v>
      </c>
      <c r="B25" s="8">
        <f t="shared" si="0"/>
        <v>0</v>
      </c>
      <c r="C25" s="21">
        <f>ROUNDDOWN((C24/1000*10%),0)*1000</f>
        <v>0</v>
      </c>
      <c r="D25" s="21">
        <f t="shared" ref="D25:E25" si="5">ROUNDDOWN((D24/1000*10%),0)*1000</f>
        <v>0</v>
      </c>
      <c r="E25" s="21">
        <f t="shared" si="5"/>
        <v>0</v>
      </c>
      <c r="F25" s="21">
        <f>ROUNDDOWN((F24/1000*10%),0)*1000</f>
        <v>0</v>
      </c>
    </row>
    <row r="26" spans="1:6" s="5" customFormat="1" ht="22.5" customHeight="1">
      <c r="A26" s="6" t="s">
        <v>120</v>
      </c>
      <c r="B26" s="8">
        <f t="shared" si="0"/>
        <v>0</v>
      </c>
      <c r="C26" s="8">
        <f>SUM(C24:C25)</f>
        <v>0</v>
      </c>
      <c r="D26" s="8">
        <f>SUM(D24:D25)</f>
        <v>0</v>
      </c>
      <c r="E26" s="8">
        <f>SUM(E24:E25)</f>
        <v>0</v>
      </c>
      <c r="F26" s="8">
        <f>SUM(F24:F25)</f>
        <v>0</v>
      </c>
    </row>
    <row r="27" spans="1:6" s="5" customFormat="1" ht="22.5" customHeight="1">
      <c r="A27" s="30"/>
      <c r="B27" s="15"/>
      <c r="C27" s="15"/>
      <c r="D27" s="15"/>
      <c r="E27" s="15"/>
      <c r="F27" s="15"/>
    </row>
    <row r="28" spans="1:6">
      <c r="A28" t="s">
        <v>55</v>
      </c>
    </row>
    <row r="29" spans="1:6">
      <c r="A29" s="34" t="s">
        <v>130</v>
      </c>
    </row>
    <row r="30" spans="1:6">
      <c r="A30" s="34" t="s">
        <v>133</v>
      </c>
    </row>
    <row r="31" spans="1:6">
      <c r="A31" s="13" t="s">
        <v>134</v>
      </c>
      <c r="B31" s="3"/>
      <c r="C31" s="3"/>
      <c r="D31" s="3"/>
      <c r="E31" s="3"/>
      <c r="F31" s="3"/>
    </row>
    <row r="32" spans="1:6">
      <c r="A32" s="13" t="s">
        <v>135</v>
      </c>
      <c r="B32" s="3"/>
      <c r="C32" s="3"/>
      <c r="D32" s="3"/>
      <c r="E32" s="3"/>
      <c r="F32" s="3"/>
    </row>
    <row r="33" spans="1:1">
      <c r="A33" s="34" t="s">
        <v>63</v>
      </c>
    </row>
    <row r="34" spans="1:1">
      <c r="A34" s="34" t="s">
        <v>64</v>
      </c>
    </row>
    <row r="35" spans="1:1">
      <c r="A35" s="34" t="s">
        <v>131</v>
      </c>
    </row>
    <row r="36" spans="1:1">
      <c r="A36" s="34" t="s">
        <v>168</v>
      </c>
    </row>
    <row r="37" spans="1:1">
      <c r="A37" s="34"/>
    </row>
    <row r="38" spans="1:1">
      <c r="A38" s="34"/>
    </row>
  </sheetData>
  <mergeCells count="1">
    <mergeCell ref="A2:F2"/>
  </mergeCells>
  <phoneticPr fontId="9"/>
  <pageMargins left="0.70866141732283472" right="0.70866141732283472" top="0.74803149606299213" bottom="0.74803149606299213" header="0.31496062992125984" footer="0.31496062992125984"/>
  <pageSetup paperSize="9" scale="7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102"/>
  <sheetViews>
    <sheetView zoomScaleNormal="100" workbookViewId="0"/>
  </sheetViews>
  <sheetFormatPr defaultRowHeight="13.5"/>
  <cols>
    <col min="1" max="1" width="6.125" customWidth="1"/>
    <col min="2" max="2" width="32" bestFit="1" customWidth="1"/>
    <col min="3" max="3" width="6.125" bestFit="1" customWidth="1"/>
    <col min="4" max="4" width="44.625" bestFit="1" customWidth="1"/>
    <col min="5" max="5" width="47.625" customWidth="1"/>
  </cols>
  <sheetData>
    <row r="1" spans="1:5">
      <c r="A1" s="92" t="s">
        <v>246</v>
      </c>
    </row>
    <row r="2" spans="1:5" ht="14.25" thickBot="1"/>
    <row r="3" spans="1:5" ht="14.25" thickBot="1">
      <c r="A3" s="96" t="s">
        <v>284</v>
      </c>
      <c r="B3" s="132"/>
      <c r="C3" s="133" t="s">
        <v>286</v>
      </c>
      <c r="D3" s="134" t="s">
        <v>285</v>
      </c>
      <c r="E3" s="135" t="s">
        <v>291</v>
      </c>
    </row>
    <row r="4" spans="1:5">
      <c r="A4" s="102" t="s">
        <v>247</v>
      </c>
      <c r="B4" s="97" t="s">
        <v>287</v>
      </c>
      <c r="C4" s="106">
        <v>1</v>
      </c>
      <c r="D4" s="98" t="str">
        <f>"農業"</f>
        <v>農業</v>
      </c>
      <c r="E4" s="110" t="str">
        <f>TEXT($C4,"0#")&amp;" "&amp;$D4</f>
        <v>01 農業</v>
      </c>
    </row>
    <row r="5" spans="1:5" ht="14.25" thickBot="1">
      <c r="A5" s="103"/>
      <c r="B5" s="99"/>
      <c r="C5" s="107">
        <v>2</v>
      </c>
      <c r="D5" s="95" t="str">
        <f>"林業"</f>
        <v>林業</v>
      </c>
      <c r="E5" s="111" t="str">
        <f t="shared" ref="E5:E68" si="0">TEXT($C5,"0#")&amp;" "&amp;$D5</f>
        <v>02 林業</v>
      </c>
    </row>
    <row r="6" spans="1:5">
      <c r="A6" s="102" t="s">
        <v>248</v>
      </c>
      <c r="B6" s="97" t="s">
        <v>288</v>
      </c>
      <c r="C6" s="106">
        <v>3</v>
      </c>
      <c r="D6" s="98" t="str">
        <f>"漁業（水産養殖業を除く）"</f>
        <v>漁業（水産養殖業を除く）</v>
      </c>
      <c r="E6" s="110" t="str">
        <f t="shared" si="0"/>
        <v>03 漁業（水産養殖業を除く）</v>
      </c>
    </row>
    <row r="7" spans="1:5" ht="14.25" thickBot="1">
      <c r="A7" s="103"/>
      <c r="B7" s="99"/>
      <c r="C7" s="107">
        <v>4</v>
      </c>
      <c r="D7" s="95" t="str">
        <f>"水産養殖業"</f>
        <v>水産養殖業</v>
      </c>
      <c r="E7" s="111" t="str">
        <f t="shared" si="0"/>
        <v>04 水産養殖業</v>
      </c>
    </row>
    <row r="8" spans="1:5" ht="14.25" thickBot="1">
      <c r="A8" s="104" t="s">
        <v>249</v>
      </c>
      <c r="B8" s="100" t="s">
        <v>267</v>
      </c>
      <c r="C8" s="108">
        <v>5</v>
      </c>
      <c r="D8" s="101" t="str">
        <f>"鉱業、採石業、砂利採取業"</f>
        <v>鉱業、採石業、砂利採取業</v>
      </c>
      <c r="E8" s="112" t="str">
        <f t="shared" si="0"/>
        <v>05 鉱業、採石業、砂利採取業</v>
      </c>
    </row>
    <row r="9" spans="1:5">
      <c r="A9" s="102" t="s">
        <v>250</v>
      </c>
      <c r="B9" s="97" t="s">
        <v>289</v>
      </c>
      <c r="C9" s="106">
        <v>6</v>
      </c>
      <c r="D9" s="98" t="str">
        <f>"総合工事業"</f>
        <v>総合工事業</v>
      </c>
      <c r="E9" s="110" t="str">
        <f t="shared" si="0"/>
        <v>06 総合工事業</v>
      </c>
    </row>
    <row r="10" spans="1:5">
      <c r="A10" s="105"/>
      <c r="B10" s="93"/>
      <c r="C10" s="109">
        <v>7</v>
      </c>
      <c r="D10" s="94" t="str">
        <f>"職別工事業（設備工事業を除く）"</f>
        <v>職別工事業（設備工事業を除く）</v>
      </c>
      <c r="E10" s="113" t="str">
        <f t="shared" si="0"/>
        <v>07 職別工事業（設備工事業を除く）</v>
      </c>
    </row>
    <row r="11" spans="1:5" ht="14.25" thickBot="1">
      <c r="A11" s="103"/>
      <c r="B11" s="99"/>
      <c r="C11" s="107">
        <v>8</v>
      </c>
      <c r="D11" s="95" t="str">
        <f>"設備工事業"</f>
        <v>設備工事業</v>
      </c>
      <c r="E11" s="111" t="str">
        <f t="shared" si="0"/>
        <v>08 設備工事業</v>
      </c>
    </row>
    <row r="12" spans="1:5">
      <c r="A12" s="102" t="s">
        <v>251</v>
      </c>
      <c r="B12" s="97" t="s">
        <v>268</v>
      </c>
      <c r="C12" s="106">
        <v>9</v>
      </c>
      <c r="D12" s="98" t="str">
        <f>"食料品製造業"</f>
        <v>食料品製造業</v>
      </c>
      <c r="E12" s="110" t="str">
        <f t="shared" si="0"/>
        <v>09 食料品製造業</v>
      </c>
    </row>
    <row r="13" spans="1:5">
      <c r="A13" s="105"/>
      <c r="B13" s="93"/>
      <c r="C13" s="109">
        <v>10</v>
      </c>
      <c r="D13" s="94" t="str">
        <f>"飲料・たばこ・飼料製造業"</f>
        <v>飲料・たばこ・飼料製造業</v>
      </c>
      <c r="E13" s="113" t="str">
        <f t="shared" si="0"/>
        <v>10 飲料・たばこ・飼料製造業</v>
      </c>
    </row>
    <row r="14" spans="1:5">
      <c r="A14" s="105"/>
      <c r="B14" s="93"/>
      <c r="C14" s="109">
        <v>11</v>
      </c>
      <c r="D14" s="94" t="str">
        <f>"繊維工業"</f>
        <v>繊維工業</v>
      </c>
      <c r="E14" s="113" t="str">
        <f t="shared" si="0"/>
        <v>11 繊維工業</v>
      </c>
    </row>
    <row r="15" spans="1:5">
      <c r="A15" s="105"/>
      <c r="B15" s="93"/>
      <c r="C15" s="109">
        <v>12</v>
      </c>
      <c r="D15" s="94" t="str">
        <f>"木材・木製品製造業（家具を除く）"</f>
        <v>木材・木製品製造業（家具を除く）</v>
      </c>
      <c r="E15" s="113" t="str">
        <f t="shared" si="0"/>
        <v>12 木材・木製品製造業（家具を除く）</v>
      </c>
    </row>
    <row r="16" spans="1:5">
      <c r="A16" s="105"/>
      <c r="B16" s="93"/>
      <c r="C16" s="109">
        <v>13</v>
      </c>
      <c r="D16" s="94" t="str">
        <f>"家具・装備品製造業"</f>
        <v>家具・装備品製造業</v>
      </c>
      <c r="E16" s="113" t="str">
        <f t="shared" si="0"/>
        <v>13 家具・装備品製造業</v>
      </c>
    </row>
    <row r="17" spans="1:5">
      <c r="A17" s="105"/>
      <c r="B17" s="93"/>
      <c r="C17" s="109">
        <v>14</v>
      </c>
      <c r="D17" s="94" t="str">
        <f>"パルプ・紙・紙加工品製造業"</f>
        <v>パルプ・紙・紙加工品製造業</v>
      </c>
      <c r="E17" s="113" t="str">
        <f t="shared" si="0"/>
        <v>14 パルプ・紙・紙加工品製造業</v>
      </c>
    </row>
    <row r="18" spans="1:5">
      <c r="A18" s="105"/>
      <c r="B18" s="93"/>
      <c r="C18" s="109">
        <v>15</v>
      </c>
      <c r="D18" s="94" t="str">
        <f>"印刷・同関連業"</f>
        <v>印刷・同関連業</v>
      </c>
      <c r="E18" s="113" t="str">
        <f t="shared" si="0"/>
        <v>15 印刷・同関連業</v>
      </c>
    </row>
    <row r="19" spans="1:5">
      <c r="A19" s="105"/>
      <c r="B19" s="93"/>
      <c r="C19" s="109">
        <v>16</v>
      </c>
      <c r="D19" s="94" t="str">
        <f>"化学工業"</f>
        <v>化学工業</v>
      </c>
      <c r="E19" s="113" t="str">
        <f t="shared" si="0"/>
        <v>16 化学工業</v>
      </c>
    </row>
    <row r="20" spans="1:5">
      <c r="A20" s="105"/>
      <c r="B20" s="93"/>
      <c r="C20" s="109">
        <v>17</v>
      </c>
      <c r="D20" s="94" t="str">
        <f>"石油製品・石炭製品製造業"</f>
        <v>石油製品・石炭製品製造業</v>
      </c>
      <c r="E20" s="113" t="str">
        <f t="shared" si="0"/>
        <v>17 石油製品・石炭製品製造業</v>
      </c>
    </row>
    <row r="21" spans="1:5">
      <c r="A21" s="105"/>
      <c r="B21" s="93"/>
      <c r="C21" s="109">
        <v>18</v>
      </c>
      <c r="D21" s="94" t="str">
        <f>"プラスチック製品製造業（別掲を除く）"</f>
        <v>プラスチック製品製造業（別掲を除く）</v>
      </c>
      <c r="E21" s="113" t="str">
        <f t="shared" si="0"/>
        <v>18 プラスチック製品製造業（別掲を除く）</v>
      </c>
    </row>
    <row r="22" spans="1:5">
      <c r="A22" s="105"/>
      <c r="B22" s="93"/>
      <c r="C22" s="109">
        <v>19</v>
      </c>
      <c r="D22" s="94" t="str">
        <f>"ゴム製品製造業"</f>
        <v>ゴム製品製造業</v>
      </c>
      <c r="E22" s="113" t="str">
        <f t="shared" si="0"/>
        <v>19 ゴム製品製造業</v>
      </c>
    </row>
    <row r="23" spans="1:5">
      <c r="A23" s="105"/>
      <c r="B23" s="93"/>
      <c r="C23" s="109">
        <v>20</v>
      </c>
      <c r="D23" s="94" t="str">
        <f>"なめし革・同製品・毛皮製造業"</f>
        <v>なめし革・同製品・毛皮製造業</v>
      </c>
      <c r="E23" s="113" t="str">
        <f t="shared" si="0"/>
        <v>20 なめし革・同製品・毛皮製造業</v>
      </c>
    </row>
    <row r="24" spans="1:5">
      <c r="A24" s="105"/>
      <c r="B24" s="93"/>
      <c r="C24" s="109">
        <v>21</v>
      </c>
      <c r="D24" s="94" t="str">
        <f>"窯業・土石製品製造業"</f>
        <v>窯業・土石製品製造業</v>
      </c>
      <c r="E24" s="113" t="str">
        <f t="shared" si="0"/>
        <v>21 窯業・土石製品製造業</v>
      </c>
    </row>
    <row r="25" spans="1:5">
      <c r="A25" s="105"/>
      <c r="B25" s="93"/>
      <c r="C25" s="109">
        <v>22</v>
      </c>
      <c r="D25" s="94" t="str">
        <f>"鉄鋼業"</f>
        <v>鉄鋼業</v>
      </c>
      <c r="E25" s="113" t="str">
        <f t="shared" si="0"/>
        <v>22 鉄鋼業</v>
      </c>
    </row>
    <row r="26" spans="1:5">
      <c r="A26" s="105"/>
      <c r="B26" s="93"/>
      <c r="C26" s="109">
        <v>23</v>
      </c>
      <c r="D26" s="94" t="str">
        <f>"非鉄金属製造業"</f>
        <v>非鉄金属製造業</v>
      </c>
      <c r="E26" s="113" t="str">
        <f t="shared" si="0"/>
        <v>23 非鉄金属製造業</v>
      </c>
    </row>
    <row r="27" spans="1:5">
      <c r="A27" s="105"/>
      <c r="B27" s="93"/>
      <c r="C27" s="109">
        <v>24</v>
      </c>
      <c r="D27" s="94" t="str">
        <f>"金属製品製造業"</f>
        <v>金属製品製造業</v>
      </c>
      <c r="E27" s="113" t="str">
        <f t="shared" si="0"/>
        <v>24 金属製品製造業</v>
      </c>
    </row>
    <row r="28" spans="1:5">
      <c r="A28" s="105"/>
      <c r="B28" s="93"/>
      <c r="C28" s="109">
        <v>25</v>
      </c>
      <c r="D28" s="94" t="str">
        <f>"はん用機械器具製造業"</f>
        <v>はん用機械器具製造業</v>
      </c>
      <c r="E28" s="113" t="str">
        <f t="shared" si="0"/>
        <v>25 はん用機械器具製造業</v>
      </c>
    </row>
    <row r="29" spans="1:5">
      <c r="A29" s="105"/>
      <c r="B29" s="93"/>
      <c r="C29" s="109">
        <v>26</v>
      </c>
      <c r="D29" s="94" t="str">
        <f>"生産用機械器具製造業"</f>
        <v>生産用機械器具製造業</v>
      </c>
      <c r="E29" s="113" t="str">
        <f t="shared" si="0"/>
        <v>26 生産用機械器具製造業</v>
      </c>
    </row>
    <row r="30" spans="1:5">
      <c r="A30" s="105"/>
      <c r="B30" s="93"/>
      <c r="C30" s="109">
        <v>27</v>
      </c>
      <c r="D30" s="94" t="str">
        <f>"業務用機械器具製造業"</f>
        <v>業務用機械器具製造業</v>
      </c>
      <c r="E30" s="113" t="str">
        <f t="shared" si="0"/>
        <v>27 業務用機械器具製造業</v>
      </c>
    </row>
    <row r="31" spans="1:5">
      <c r="A31" s="105"/>
      <c r="B31" s="93"/>
      <c r="C31" s="109">
        <v>28</v>
      </c>
      <c r="D31" s="94" t="str">
        <f>"電子部品・デバイス・電子回路製造業"</f>
        <v>電子部品・デバイス・電子回路製造業</v>
      </c>
      <c r="E31" s="113" t="str">
        <f t="shared" si="0"/>
        <v>28 電子部品・デバイス・電子回路製造業</v>
      </c>
    </row>
    <row r="32" spans="1:5">
      <c r="A32" s="105"/>
      <c r="B32" s="93"/>
      <c r="C32" s="109">
        <v>29</v>
      </c>
      <c r="D32" s="94" t="str">
        <f>"電気機械器具製造業"</f>
        <v>電気機械器具製造業</v>
      </c>
      <c r="E32" s="113" t="str">
        <f t="shared" si="0"/>
        <v>29 電気機械器具製造業</v>
      </c>
    </row>
    <row r="33" spans="1:5">
      <c r="A33" s="105"/>
      <c r="B33" s="93"/>
      <c r="C33" s="109">
        <v>30</v>
      </c>
      <c r="D33" s="94" t="str">
        <f>"情報通信機械器具製造業"</f>
        <v>情報通信機械器具製造業</v>
      </c>
      <c r="E33" s="113" t="str">
        <f t="shared" si="0"/>
        <v>30 情報通信機械器具製造業</v>
      </c>
    </row>
    <row r="34" spans="1:5">
      <c r="A34" s="105"/>
      <c r="B34" s="93"/>
      <c r="C34" s="109">
        <v>31</v>
      </c>
      <c r="D34" s="94" t="str">
        <f>"輸送用機械器具製造業"</f>
        <v>輸送用機械器具製造業</v>
      </c>
      <c r="E34" s="113" t="str">
        <f t="shared" si="0"/>
        <v>31 輸送用機械器具製造業</v>
      </c>
    </row>
    <row r="35" spans="1:5" ht="14.25" thickBot="1">
      <c r="A35" s="103"/>
      <c r="B35" s="99"/>
      <c r="C35" s="107">
        <v>32</v>
      </c>
      <c r="D35" s="95" t="str">
        <f>"その他の製造業"</f>
        <v>その他の製造業</v>
      </c>
      <c r="E35" s="111" t="str">
        <f t="shared" si="0"/>
        <v>32 その他の製造業</v>
      </c>
    </row>
    <row r="36" spans="1:5">
      <c r="A36" s="102" t="s">
        <v>252</v>
      </c>
      <c r="B36" s="97" t="s">
        <v>269</v>
      </c>
      <c r="C36" s="106">
        <v>33</v>
      </c>
      <c r="D36" s="98" t="str">
        <f>"電気業"</f>
        <v>電気業</v>
      </c>
      <c r="E36" s="110" t="str">
        <f t="shared" si="0"/>
        <v>33 電気業</v>
      </c>
    </row>
    <row r="37" spans="1:5">
      <c r="A37" s="105"/>
      <c r="B37" s="93"/>
      <c r="C37" s="109">
        <v>34</v>
      </c>
      <c r="D37" s="94" t="str">
        <f>"ガス業"</f>
        <v>ガス業</v>
      </c>
      <c r="E37" s="113" t="str">
        <f t="shared" si="0"/>
        <v>34 ガス業</v>
      </c>
    </row>
    <row r="38" spans="1:5">
      <c r="A38" s="105"/>
      <c r="B38" s="93"/>
      <c r="C38" s="109">
        <v>35</v>
      </c>
      <c r="D38" s="94" t="str">
        <f>"熱供給業"</f>
        <v>熱供給業</v>
      </c>
      <c r="E38" s="113" t="str">
        <f t="shared" si="0"/>
        <v>35 熱供給業</v>
      </c>
    </row>
    <row r="39" spans="1:5" ht="14.25" thickBot="1">
      <c r="A39" s="103"/>
      <c r="B39" s="99"/>
      <c r="C39" s="107">
        <v>36</v>
      </c>
      <c r="D39" s="95" t="str">
        <f>"水道業"</f>
        <v>水道業</v>
      </c>
      <c r="E39" s="111" t="str">
        <f t="shared" si="0"/>
        <v>36 水道業</v>
      </c>
    </row>
    <row r="40" spans="1:5">
      <c r="A40" s="102" t="s">
        <v>253</v>
      </c>
      <c r="B40" s="97" t="s">
        <v>270</v>
      </c>
      <c r="C40" s="106">
        <v>37</v>
      </c>
      <c r="D40" s="98" t="str">
        <f>"通信業"</f>
        <v>通信業</v>
      </c>
      <c r="E40" s="110" t="str">
        <f t="shared" si="0"/>
        <v>37 通信業</v>
      </c>
    </row>
    <row r="41" spans="1:5">
      <c r="A41" s="105"/>
      <c r="B41" s="93"/>
      <c r="C41" s="109">
        <v>38</v>
      </c>
      <c r="D41" s="94" t="str">
        <f>"放送業"</f>
        <v>放送業</v>
      </c>
      <c r="E41" s="113" t="str">
        <f t="shared" si="0"/>
        <v>38 放送業</v>
      </c>
    </row>
    <row r="42" spans="1:5">
      <c r="A42" s="105"/>
      <c r="B42" s="93"/>
      <c r="C42" s="109">
        <v>39</v>
      </c>
      <c r="D42" s="94" t="str">
        <f>"情報サービス業"</f>
        <v>情報サービス業</v>
      </c>
      <c r="E42" s="113" t="str">
        <f t="shared" si="0"/>
        <v>39 情報サービス業</v>
      </c>
    </row>
    <row r="43" spans="1:5">
      <c r="A43" s="105"/>
      <c r="B43" s="93"/>
      <c r="C43" s="109">
        <v>40</v>
      </c>
      <c r="D43" s="94" t="str">
        <f>"インターネット付随サービス業"</f>
        <v>インターネット付随サービス業</v>
      </c>
      <c r="E43" s="113" t="str">
        <f t="shared" si="0"/>
        <v>40 インターネット付随サービス業</v>
      </c>
    </row>
    <row r="44" spans="1:5" ht="14.25" thickBot="1">
      <c r="A44" s="103"/>
      <c r="B44" s="99"/>
      <c r="C44" s="107">
        <v>41</v>
      </c>
      <c r="D44" s="95" t="str">
        <f>"映像・音声・文字情報制作業"</f>
        <v>映像・音声・文字情報制作業</v>
      </c>
      <c r="E44" s="111" t="str">
        <f t="shared" si="0"/>
        <v>41 映像・音声・文字情報制作業</v>
      </c>
    </row>
    <row r="45" spans="1:5">
      <c r="A45" s="102" t="s">
        <v>254</v>
      </c>
      <c r="B45" s="97" t="s">
        <v>271</v>
      </c>
      <c r="C45" s="106">
        <v>42</v>
      </c>
      <c r="D45" s="98" t="str">
        <f>"鉄道業"</f>
        <v>鉄道業</v>
      </c>
      <c r="E45" s="110" t="str">
        <f t="shared" si="0"/>
        <v>42 鉄道業</v>
      </c>
    </row>
    <row r="46" spans="1:5">
      <c r="A46" s="105"/>
      <c r="B46" s="93"/>
      <c r="C46" s="109">
        <v>43</v>
      </c>
      <c r="D46" s="94" t="str">
        <f>"道路旅客運送業"</f>
        <v>道路旅客運送業</v>
      </c>
      <c r="E46" s="113" t="str">
        <f t="shared" si="0"/>
        <v>43 道路旅客運送業</v>
      </c>
    </row>
    <row r="47" spans="1:5">
      <c r="A47" s="105"/>
      <c r="B47" s="93"/>
      <c r="C47" s="109">
        <v>44</v>
      </c>
      <c r="D47" s="94" t="str">
        <f>"道路貨物運送業"</f>
        <v>道路貨物運送業</v>
      </c>
      <c r="E47" s="113" t="str">
        <f t="shared" si="0"/>
        <v>44 道路貨物運送業</v>
      </c>
    </row>
    <row r="48" spans="1:5">
      <c r="A48" s="105"/>
      <c r="B48" s="93"/>
      <c r="C48" s="109">
        <v>45</v>
      </c>
      <c r="D48" s="94" t="str">
        <f>"水運業"</f>
        <v>水運業</v>
      </c>
      <c r="E48" s="113" t="str">
        <f t="shared" si="0"/>
        <v>45 水運業</v>
      </c>
    </row>
    <row r="49" spans="1:5">
      <c r="A49" s="105"/>
      <c r="B49" s="93"/>
      <c r="C49" s="109">
        <v>46</v>
      </c>
      <c r="D49" s="94" t="str">
        <f>"航空運輸業"</f>
        <v>航空運輸業</v>
      </c>
      <c r="E49" s="113" t="str">
        <f t="shared" si="0"/>
        <v>46 航空運輸業</v>
      </c>
    </row>
    <row r="50" spans="1:5">
      <c r="A50" s="105"/>
      <c r="B50" s="93"/>
      <c r="C50" s="109">
        <v>47</v>
      </c>
      <c r="D50" s="94" t="str">
        <f>"倉庫業"</f>
        <v>倉庫業</v>
      </c>
      <c r="E50" s="113" t="str">
        <f t="shared" si="0"/>
        <v>47 倉庫業</v>
      </c>
    </row>
    <row r="51" spans="1:5">
      <c r="A51" s="105"/>
      <c r="B51" s="93"/>
      <c r="C51" s="109">
        <v>48</v>
      </c>
      <c r="D51" s="94" t="str">
        <f>"運輸に附帯するサービス業"</f>
        <v>運輸に附帯するサービス業</v>
      </c>
      <c r="E51" s="113" t="str">
        <f t="shared" si="0"/>
        <v>48 運輸に附帯するサービス業</v>
      </c>
    </row>
    <row r="52" spans="1:5" ht="14.25" thickBot="1">
      <c r="A52" s="103"/>
      <c r="B52" s="99"/>
      <c r="C52" s="107">
        <v>49</v>
      </c>
      <c r="D52" s="95" t="str">
        <f>"郵便業（信書便事業を含む）"</f>
        <v>郵便業（信書便事業を含む）</v>
      </c>
      <c r="E52" s="111" t="str">
        <f t="shared" si="0"/>
        <v>49 郵便業（信書便事業を含む）</v>
      </c>
    </row>
    <row r="53" spans="1:5">
      <c r="A53" s="102" t="s">
        <v>255</v>
      </c>
      <c r="B53" s="97" t="s">
        <v>272</v>
      </c>
      <c r="C53" s="106">
        <v>50</v>
      </c>
      <c r="D53" s="98" t="str">
        <f>"各種商品卸売業"</f>
        <v>各種商品卸売業</v>
      </c>
      <c r="E53" s="110" t="str">
        <f t="shared" si="0"/>
        <v>50 各種商品卸売業</v>
      </c>
    </row>
    <row r="54" spans="1:5">
      <c r="A54" s="105"/>
      <c r="B54" s="93"/>
      <c r="C54" s="109">
        <v>51</v>
      </c>
      <c r="D54" s="94" t="str">
        <f>"繊維・衣服等卸売業"</f>
        <v>繊維・衣服等卸売業</v>
      </c>
      <c r="E54" s="113" t="str">
        <f t="shared" si="0"/>
        <v>51 繊維・衣服等卸売業</v>
      </c>
    </row>
    <row r="55" spans="1:5">
      <c r="A55" s="105"/>
      <c r="B55" s="93"/>
      <c r="C55" s="109">
        <v>52</v>
      </c>
      <c r="D55" s="94" t="str">
        <f>"飲食料品卸売業"</f>
        <v>飲食料品卸売業</v>
      </c>
      <c r="E55" s="113" t="str">
        <f t="shared" si="0"/>
        <v>52 飲食料品卸売業</v>
      </c>
    </row>
    <row r="56" spans="1:5">
      <c r="A56" s="105"/>
      <c r="B56" s="93"/>
      <c r="C56" s="109">
        <v>53</v>
      </c>
      <c r="D56" s="94" t="str">
        <f>"建築材料、鉱物・金属材料等卸売業"</f>
        <v>建築材料、鉱物・金属材料等卸売業</v>
      </c>
      <c r="E56" s="113" t="str">
        <f t="shared" si="0"/>
        <v>53 建築材料、鉱物・金属材料等卸売業</v>
      </c>
    </row>
    <row r="57" spans="1:5">
      <c r="A57" s="105"/>
      <c r="B57" s="93"/>
      <c r="C57" s="109">
        <v>54</v>
      </c>
      <c r="D57" s="94" t="str">
        <f>"機械器具卸売業"</f>
        <v>機械器具卸売業</v>
      </c>
      <c r="E57" s="113" t="str">
        <f t="shared" si="0"/>
        <v>54 機械器具卸売業</v>
      </c>
    </row>
    <row r="58" spans="1:5">
      <c r="A58" s="105"/>
      <c r="B58" s="93"/>
      <c r="C58" s="109">
        <v>55</v>
      </c>
      <c r="D58" s="94" t="str">
        <f>"その他の卸売業"</f>
        <v>その他の卸売業</v>
      </c>
      <c r="E58" s="113" t="str">
        <f t="shared" si="0"/>
        <v>55 その他の卸売業</v>
      </c>
    </row>
    <row r="59" spans="1:5">
      <c r="A59" s="105"/>
      <c r="B59" s="93"/>
      <c r="C59" s="109">
        <v>56</v>
      </c>
      <c r="D59" s="94" t="str">
        <f>"各種商品小売業"</f>
        <v>各種商品小売業</v>
      </c>
      <c r="E59" s="113" t="str">
        <f t="shared" si="0"/>
        <v>56 各種商品小売業</v>
      </c>
    </row>
    <row r="60" spans="1:5">
      <c r="A60" s="105"/>
      <c r="B60" s="93"/>
      <c r="C60" s="109">
        <v>57</v>
      </c>
      <c r="D60" s="94" t="str">
        <f>"織物・衣服・身の回り品小売業"</f>
        <v>織物・衣服・身の回り品小売業</v>
      </c>
      <c r="E60" s="113" t="str">
        <f t="shared" si="0"/>
        <v>57 織物・衣服・身の回り品小売業</v>
      </c>
    </row>
    <row r="61" spans="1:5">
      <c r="A61" s="105"/>
      <c r="B61" s="93"/>
      <c r="C61" s="109">
        <v>58</v>
      </c>
      <c r="D61" s="94" t="str">
        <f>"飲食料品小売業"</f>
        <v>飲食料品小売業</v>
      </c>
      <c r="E61" s="113" t="str">
        <f t="shared" si="0"/>
        <v>58 飲食料品小売業</v>
      </c>
    </row>
    <row r="62" spans="1:5">
      <c r="A62" s="105"/>
      <c r="B62" s="93"/>
      <c r="C62" s="109">
        <v>59</v>
      </c>
      <c r="D62" s="94" t="str">
        <f>"機械器具小売業"</f>
        <v>機械器具小売業</v>
      </c>
      <c r="E62" s="113" t="str">
        <f t="shared" si="0"/>
        <v>59 機械器具小売業</v>
      </c>
    </row>
    <row r="63" spans="1:5">
      <c r="A63" s="105"/>
      <c r="B63" s="93"/>
      <c r="C63" s="109">
        <v>60</v>
      </c>
      <c r="D63" s="94" t="str">
        <f>"その他の小売業"</f>
        <v>その他の小売業</v>
      </c>
      <c r="E63" s="113" t="str">
        <f t="shared" si="0"/>
        <v>60 その他の小売業</v>
      </c>
    </row>
    <row r="64" spans="1:5" ht="14.25" thickBot="1">
      <c r="A64" s="103"/>
      <c r="B64" s="99"/>
      <c r="C64" s="107">
        <v>61</v>
      </c>
      <c r="D64" s="95" t="str">
        <f>"無店舗小売業"</f>
        <v>無店舗小売業</v>
      </c>
      <c r="E64" s="111" t="str">
        <f t="shared" si="0"/>
        <v>61 無店舗小売業</v>
      </c>
    </row>
    <row r="65" spans="1:5">
      <c r="A65" s="102" t="s">
        <v>256</v>
      </c>
      <c r="B65" s="97" t="s">
        <v>273</v>
      </c>
      <c r="C65" s="106">
        <v>62</v>
      </c>
      <c r="D65" s="98" t="str">
        <f>"銀行業"</f>
        <v>銀行業</v>
      </c>
      <c r="E65" s="110" t="str">
        <f t="shared" si="0"/>
        <v>62 銀行業</v>
      </c>
    </row>
    <row r="66" spans="1:5">
      <c r="A66" s="105"/>
      <c r="B66" s="93"/>
      <c r="C66" s="109">
        <v>63</v>
      </c>
      <c r="D66" s="94" t="str">
        <f>"協同組織金融業"</f>
        <v>協同組織金融業</v>
      </c>
      <c r="E66" s="113" t="str">
        <f t="shared" si="0"/>
        <v>63 協同組織金融業</v>
      </c>
    </row>
    <row r="67" spans="1:5">
      <c r="A67" s="105"/>
      <c r="B67" s="93"/>
      <c r="C67" s="109">
        <v>64</v>
      </c>
      <c r="D67" s="94" t="str">
        <f>"貸金業、クレジットカード業等非預金信用機関"</f>
        <v>貸金業、クレジットカード業等非預金信用機関</v>
      </c>
      <c r="E67" s="113" t="str">
        <f t="shared" si="0"/>
        <v>64 貸金業、クレジットカード業等非預金信用機関</v>
      </c>
    </row>
    <row r="68" spans="1:5">
      <c r="A68" s="105"/>
      <c r="B68" s="93"/>
      <c r="C68" s="109">
        <v>65</v>
      </c>
      <c r="D68" s="94" t="str">
        <f>"金融商品取引業、商品先物取引業"</f>
        <v>金融商品取引業、商品先物取引業</v>
      </c>
      <c r="E68" s="113" t="str">
        <f t="shared" si="0"/>
        <v>65 金融商品取引業、商品先物取引業</v>
      </c>
    </row>
    <row r="69" spans="1:5">
      <c r="A69" s="105"/>
      <c r="B69" s="93"/>
      <c r="C69" s="109">
        <v>66</v>
      </c>
      <c r="D69" s="94" t="str">
        <f>"補助的金融業等"</f>
        <v>補助的金融業等</v>
      </c>
      <c r="E69" s="113" t="str">
        <f t="shared" ref="E69:E102" si="1">TEXT($C69,"0#")&amp;" "&amp;$D69</f>
        <v>66 補助的金融業等</v>
      </c>
    </row>
    <row r="70" spans="1:5" ht="14.25" thickBot="1">
      <c r="A70" s="103"/>
      <c r="B70" s="99"/>
      <c r="C70" s="107">
        <v>67</v>
      </c>
      <c r="D70" s="95" t="str">
        <f>"保険業（保険媒介代理業、保険サービス業を含む）"</f>
        <v>保険業（保険媒介代理業、保険サービス業を含む）</v>
      </c>
      <c r="E70" s="111" t="str">
        <f t="shared" si="1"/>
        <v>67 保険業（保険媒介代理業、保険サービス業を含む）</v>
      </c>
    </row>
    <row r="71" spans="1:5">
      <c r="A71" s="102" t="s">
        <v>257</v>
      </c>
      <c r="B71" s="97" t="s">
        <v>274</v>
      </c>
      <c r="C71" s="106">
        <v>68</v>
      </c>
      <c r="D71" s="98" t="str">
        <f>"不動産取引業"</f>
        <v>不動産取引業</v>
      </c>
      <c r="E71" s="110" t="str">
        <f t="shared" si="1"/>
        <v>68 不動産取引業</v>
      </c>
    </row>
    <row r="72" spans="1:5">
      <c r="A72" s="105"/>
      <c r="B72" s="93"/>
      <c r="C72" s="109">
        <v>69</v>
      </c>
      <c r="D72" s="94" t="str">
        <f>"不動産賃貸業・管理業"</f>
        <v>不動産賃貸業・管理業</v>
      </c>
      <c r="E72" s="113" t="str">
        <f t="shared" si="1"/>
        <v>69 不動産賃貸業・管理業</v>
      </c>
    </row>
    <row r="73" spans="1:5" ht="14.25" thickBot="1">
      <c r="A73" s="103"/>
      <c r="B73" s="99"/>
      <c r="C73" s="107">
        <v>70</v>
      </c>
      <c r="D73" s="95" t="str">
        <f>"物品賃貸業"</f>
        <v>物品賃貸業</v>
      </c>
      <c r="E73" s="111" t="str">
        <f t="shared" si="1"/>
        <v>70 物品賃貸業</v>
      </c>
    </row>
    <row r="74" spans="1:5">
      <c r="A74" s="102" t="s">
        <v>258</v>
      </c>
      <c r="B74" s="97" t="s">
        <v>275</v>
      </c>
      <c r="C74" s="106">
        <v>71</v>
      </c>
      <c r="D74" s="98" t="str">
        <f>"学術・開発研究機関"</f>
        <v>学術・開発研究機関</v>
      </c>
      <c r="E74" s="110" t="str">
        <f t="shared" si="1"/>
        <v>71 学術・開発研究機関</v>
      </c>
    </row>
    <row r="75" spans="1:5">
      <c r="A75" s="105"/>
      <c r="B75" s="93"/>
      <c r="C75" s="109">
        <v>72</v>
      </c>
      <c r="D75" s="94" t="str">
        <f>"専門サービス業（他に分類されないもの）"</f>
        <v>専門サービス業（他に分類されないもの）</v>
      </c>
      <c r="E75" s="113" t="str">
        <f t="shared" si="1"/>
        <v>72 専門サービス業（他に分類されないもの）</v>
      </c>
    </row>
    <row r="76" spans="1:5">
      <c r="A76" s="105"/>
      <c r="B76" s="93"/>
      <c r="C76" s="109">
        <v>73</v>
      </c>
      <c r="D76" s="94" t="str">
        <f>"広告業"</f>
        <v>広告業</v>
      </c>
      <c r="E76" s="113" t="str">
        <f t="shared" si="1"/>
        <v>73 広告業</v>
      </c>
    </row>
    <row r="77" spans="1:5" ht="14.25" thickBot="1">
      <c r="A77" s="103"/>
      <c r="B77" s="99"/>
      <c r="C77" s="107">
        <v>74</v>
      </c>
      <c r="D77" s="95" t="str">
        <f>"技術サービス業（他に分類されないもの）"</f>
        <v>技術サービス業（他に分類されないもの）</v>
      </c>
      <c r="E77" s="111" t="str">
        <f t="shared" si="1"/>
        <v>74 技術サービス業（他に分類されないもの）</v>
      </c>
    </row>
    <row r="78" spans="1:5">
      <c r="A78" s="102" t="s">
        <v>259</v>
      </c>
      <c r="B78" s="97" t="s">
        <v>276</v>
      </c>
      <c r="C78" s="106">
        <v>75</v>
      </c>
      <c r="D78" s="98" t="str">
        <f>"宿泊業"</f>
        <v>宿泊業</v>
      </c>
      <c r="E78" s="110" t="str">
        <f t="shared" si="1"/>
        <v>75 宿泊業</v>
      </c>
    </row>
    <row r="79" spans="1:5">
      <c r="A79" s="105"/>
      <c r="B79" s="93"/>
      <c r="C79" s="109">
        <v>76</v>
      </c>
      <c r="D79" s="94" t="str">
        <f>"飲食店"</f>
        <v>飲食店</v>
      </c>
      <c r="E79" s="113" t="str">
        <f t="shared" si="1"/>
        <v>76 飲食店</v>
      </c>
    </row>
    <row r="80" spans="1:5" ht="14.25" thickBot="1">
      <c r="A80" s="103"/>
      <c r="B80" s="99"/>
      <c r="C80" s="107">
        <v>77</v>
      </c>
      <c r="D80" s="95" t="str">
        <f>"持ち帰り・配達飲食サービス業"</f>
        <v>持ち帰り・配達飲食サービス業</v>
      </c>
      <c r="E80" s="111" t="str">
        <f t="shared" si="1"/>
        <v>77 持ち帰り・配達飲食サービス業</v>
      </c>
    </row>
    <row r="81" spans="1:5">
      <c r="A81" s="102" t="s">
        <v>260</v>
      </c>
      <c r="B81" s="97" t="s">
        <v>277</v>
      </c>
      <c r="C81" s="106">
        <v>78</v>
      </c>
      <c r="D81" s="98" t="str">
        <f>"洗濯・理容・美容・浴場業"</f>
        <v>洗濯・理容・美容・浴場業</v>
      </c>
      <c r="E81" s="110" t="str">
        <f t="shared" si="1"/>
        <v>78 洗濯・理容・美容・浴場業</v>
      </c>
    </row>
    <row r="82" spans="1:5">
      <c r="A82" s="105"/>
      <c r="B82" s="93"/>
      <c r="C82" s="109">
        <v>79</v>
      </c>
      <c r="D82" s="94" t="str">
        <f>"その他の生活関連サービス業"</f>
        <v>その他の生活関連サービス業</v>
      </c>
      <c r="E82" s="113" t="str">
        <f t="shared" si="1"/>
        <v>79 その他の生活関連サービス業</v>
      </c>
    </row>
    <row r="83" spans="1:5" ht="14.25" thickBot="1">
      <c r="A83" s="103"/>
      <c r="B83" s="99"/>
      <c r="C83" s="107">
        <v>80</v>
      </c>
      <c r="D83" s="95" t="str">
        <f>"娯楽業"</f>
        <v>娯楽業</v>
      </c>
      <c r="E83" s="111" t="str">
        <f t="shared" si="1"/>
        <v>80 娯楽業</v>
      </c>
    </row>
    <row r="84" spans="1:5">
      <c r="A84" s="102" t="s">
        <v>261</v>
      </c>
      <c r="B84" s="97" t="s">
        <v>278</v>
      </c>
      <c r="C84" s="106">
        <v>81</v>
      </c>
      <c r="D84" s="98" t="str">
        <f>"学校教育"</f>
        <v>学校教育</v>
      </c>
      <c r="E84" s="110" t="str">
        <f t="shared" si="1"/>
        <v>81 学校教育</v>
      </c>
    </row>
    <row r="85" spans="1:5" ht="14.25" thickBot="1">
      <c r="A85" s="103"/>
      <c r="B85" s="99"/>
      <c r="C85" s="107">
        <v>82</v>
      </c>
      <c r="D85" s="95" t="str">
        <f>"その他の教育、学習支援業"</f>
        <v>その他の教育、学習支援業</v>
      </c>
      <c r="E85" s="111" t="str">
        <f t="shared" si="1"/>
        <v>82 その他の教育、学習支援業</v>
      </c>
    </row>
    <row r="86" spans="1:5">
      <c r="A86" s="102" t="s">
        <v>262</v>
      </c>
      <c r="B86" s="97" t="s">
        <v>279</v>
      </c>
      <c r="C86" s="106">
        <v>83</v>
      </c>
      <c r="D86" s="98" t="str">
        <f>"医療業"</f>
        <v>医療業</v>
      </c>
      <c r="E86" s="110" t="str">
        <f t="shared" si="1"/>
        <v>83 医療業</v>
      </c>
    </row>
    <row r="87" spans="1:5">
      <c r="A87" s="105"/>
      <c r="B87" s="93"/>
      <c r="C87" s="109">
        <v>84</v>
      </c>
      <c r="D87" s="94" t="str">
        <f>"保健衛生"</f>
        <v>保健衛生</v>
      </c>
      <c r="E87" s="113" t="str">
        <f t="shared" si="1"/>
        <v>84 保健衛生</v>
      </c>
    </row>
    <row r="88" spans="1:5" ht="14.25" thickBot="1">
      <c r="A88" s="103"/>
      <c r="B88" s="99"/>
      <c r="C88" s="107">
        <v>85</v>
      </c>
      <c r="D88" s="95" t="str">
        <f>"社会保険・社会福祉・介護事業"</f>
        <v>社会保険・社会福祉・介護事業</v>
      </c>
      <c r="E88" s="111" t="str">
        <f t="shared" si="1"/>
        <v>85 社会保険・社会福祉・介護事業</v>
      </c>
    </row>
    <row r="89" spans="1:5">
      <c r="A89" s="102" t="s">
        <v>263</v>
      </c>
      <c r="B89" s="97" t="s">
        <v>280</v>
      </c>
      <c r="C89" s="106">
        <v>86</v>
      </c>
      <c r="D89" s="98" t="str">
        <f>"郵便局"</f>
        <v>郵便局</v>
      </c>
      <c r="E89" s="110" t="str">
        <f t="shared" si="1"/>
        <v>86 郵便局</v>
      </c>
    </row>
    <row r="90" spans="1:5" ht="14.25" thickBot="1">
      <c r="A90" s="103"/>
      <c r="B90" s="99"/>
      <c r="C90" s="107">
        <v>87</v>
      </c>
      <c r="D90" s="95" t="str">
        <f>"協同組合（他に分類されないもの）"</f>
        <v>協同組合（他に分類されないもの）</v>
      </c>
      <c r="E90" s="111" t="str">
        <f t="shared" si="1"/>
        <v>87 協同組合（他に分類されないもの）</v>
      </c>
    </row>
    <row r="91" spans="1:5">
      <c r="A91" s="102" t="s">
        <v>264</v>
      </c>
      <c r="B91" s="97" t="s">
        <v>281</v>
      </c>
      <c r="C91" s="106">
        <v>88</v>
      </c>
      <c r="D91" s="98" t="str">
        <f>"廃棄物処理業"</f>
        <v>廃棄物処理業</v>
      </c>
      <c r="E91" s="110" t="str">
        <f t="shared" si="1"/>
        <v>88 廃棄物処理業</v>
      </c>
    </row>
    <row r="92" spans="1:5">
      <c r="A92" s="105"/>
      <c r="B92" s="93"/>
      <c r="C92" s="109">
        <v>89</v>
      </c>
      <c r="D92" s="94" t="str">
        <f>"自動車整備業"</f>
        <v>自動車整備業</v>
      </c>
      <c r="E92" s="113" t="str">
        <f t="shared" si="1"/>
        <v>89 自動車整備業</v>
      </c>
    </row>
    <row r="93" spans="1:5">
      <c r="A93" s="105"/>
      <c r="B93" s="93"/>
      <c r="C93" s="109">
        <v>90</v>
      </c>
      <c r="D93" s="94" t="str">
        <f>"機械等修理業"</f>
        <v>機械等修理業</v>
      </c>
      <c r="E93" s="113" t="str">
        <f t="shared" si="1"/>
        <v>90 機械等修理業</v>
      </c>
    </row>
    <row r="94" spans="1:5">
      <c r="A94" s="105"/>
      <c r="B94" s="93"/>
      <c r="C94" s="109">
        <v>91</v>
      </c>
      <c r="D94" s="94" t="str">
        <f>"職業紹介・労働者派遣業"</f>
        <v>職業紹介・労働者派遣業</v>
      </c>
      <c r="E94" s="113" t="str">
        <f t="shared" si="1"/>
        <v>91 職業紹介・労働者派遣業</v>
      </c>
    </row>
    <row r="95" spans="1:5">
      <c r="A95" s="105"/>
      <c r="B95" s="93"/>
      <c r="C95" s="109">
        <v>92</v>
      </c>
      <c r="D95" s="94" t="str">
        <f>"その他の事業サービス業"</f>
        <v>その他の事業サービス業</v>
      </c>
      <c r="E95" s="113" t="str">
        <f t="shared" si="1"/>
        <v>92 その他の事業サービス業</v>
      </c>
    </row>
    <row r="96" spans="1:5">
      <c r="A96" s="105"/>
      <c r="B96" s="93"/>
      <c r="C96" s="109">
        <v>93</v>
      </c>
      <c r="D96" s="94" t="str">
        <f>"政治・経済・文化団体"</f>
        <v>政治・経済・文化団体</v>
      </c>
      <c r="E96" s="113" t="str">
        <f t="shared" si="1"/>
        <v>93 政治・経済・文化団体</v>
      </c>
    </row>
    <row r="97" spans="1:5">
      <c r="A97" s="105"/>
      <c r="B97" s="93"/>
      <c r="C97" s="109">
        <v>94</v>
      </c>
      <c r="D97" s="94" t="str">
        <f>"宗教"</f>
        <v>宗教</v>
      </c>
      <c r="E97" s="113" t="str">
        <f t="shared" si="1"/>
        <v>94 宗教</v>
      </c>
    </row>
    <row r="98" spans="1:5">
      <c r="A98" s="105"/>
      <c r="B98" s="93"/>
      <c r="C98" s="109">
        <v>95</v>
      </c>
      <c r="D98" s="94" t="str">
        <f>"その他のサービス業"</f>
        <v>その他のサービス業</v>
      </c>
      <c r="E98" s="113" t="str">
        <f t="shared" si="1"/>
        <v>95 その他のサービス業</v>
      </c>
    </row>
    <row r="99" spans="1:5" ht="14.25" thickBot="1">
      <c r="A99" s="103"/>
      <c r="B99" s="99"/>
      <c r="C99" s="107">
        <v>96</v>
      </c>
      <c r="D99" s="95" t="str">
        <f>"外国公務"</f>
        <v>外国公務</v>
      </c>
      <c r="E99" s="111" t="str">
        <f t="shared" si="1"/>
        <v>96 外国公務</v>
      </c>
    </row>
    <row r="100" spans="1:5">
      <c r="A100" s="102" t="s">
        <v>265</v>
      </c>
      <c r="B100" s="97" t="s">
        <v>282</v>
      </c>
      <c r="C100" s="106">
        <v>97</v>
      </c>
      <c r="D100" s="98" t="str">
        <f>"国家公務"</f>
        <v>国家公務</v>
      </c>
      <c r="E100" s="110" t="str">
        <f t="shared" si="1"/>
        <v>97 国家公務</v>
      </c>
    </row>
    <row r="101" spans="1:5" ht="14.25" thickBot="1">
      <c r="A101" s="103"/>
      <c r="B101" s="99"/>
      <c r="C101" s="107">
        <v>98</v>
      </c>
      <c r="D101" s="95" t="str">
        <f>"地方公務"</f>
        <v>地方公務</v>
      </c>
      <c r="E101" s="111" t="str">
        <f t="shared" si="1"/>
        <v>98 地方公務</v>
      </c>
    </row>
    <row r="102" spans="1:5" ht="14.25" thickBot="1">
      <c r="A102" s="104" t="s">
        <v>266</v>
      </c>
      <c r="B102" s="100" t="s">
        <v>283</v>
      </c>
      <c r="C102" s="108">
        <v>99</v>
      </c>
      <c r="D102" s="101" t="str">
        <f>"分類不能の産業"</f>
        <v>分類不能の産業</v>
      </c>
      <c r="E102" s="112" t="str">
        <f t="shared" si="1"/>
        <v>99 分類不能の産業</v>
      </c>
    </row>
  </sheetData>
  <phoneticPr fontId="9"/>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B17"/>
  <sheetViews>
    <sheetView workbookViewId="0"/>
  </sheetViews>
  <sheetFormatPr defaultRowHeight="13.5"/>
  <cols>
    <col min="1" max="1" width="6.125" customWidth="1"/>
  </cols>
  <sheetData>
    <row r="2" spans="1:2">
      <c r="A2" s="92" t="s">
        <v>243</v>
      </c>
      <c r="B2" s="92"/>
    </row>
    <row r="3" spans="1:2">
      <c r="A3">
        <v>1</v>
      </c>
      <c r="B3" t="s">
        <v>211</v>
      </c>
    </row>
    <row r="4" spans="1:2">
      <c r="A4">
        <v>2</v>
      </c>
      <c r="B4" t="s">
        <v>196</v>
      </c>
    </row>
    <row r="7" spans="1:2">
      <c r="A7" s="92" t="s">
        <v>244</v>
      </c>
      <c r="B7" s="92"/>
    </row>
    <row r="8" spans="1:2">
      <c r="A8">
        <v>1</v>
      </c>
      <c r="B8" t="s">
        <v>214</v>
      </c>
    </row>
    <row r="9" spans="1:2">
      <c r="A9">
        <v>2</v>
      </c>
      <c r="B9" t="s">
        <v>215</v>
      </c>
    </row>
    <row r="10" spans="1:2">
      <c r="A10">
        <v>3</v>
      </c>
      <c r="B10" t="s">
        <v>216</v>
      </c>
    </row>
    <row r="13" spans="1:2">
      <c r="A13" s="92" t="s">
        <v>245</v>
      </c>
      <c r="B13" s="92"/>
    </row>
    <row r="14" spans="1:2">
      <c r="A14">
        <v>1</v>
      </c>
      <c r="B14" t="s">
        <v>236</v>
      </c>
    </row>
    <row r="15" spans="1:2">
      <c r="A15">
        <v>2</v>
      </c>
      <c r="B15" t="s">
        <v>237</v>
      </c>
    </row>
    <row r="16" spans="1:2">
      <c r="A16">
        <v>3</v>
      </c>
      <c r="B16" t="s">
        <v>238</v>
      </c>
    </row>
    <row r="17" spans="1:2">
      <c r="A17">
        <v>4</v>
      </c>
      <c r="B17" t="s">
        <v>239</v>
      </c>
    </row>
  </sheetData>
  <phoneticPr fontId="9"/>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
  <sheetViews>
    <sheetView showGridLines="0" workbookViewId="0">
      <selection sqref="A1:C1"/>
    </sheetView>
  </sheetViews>
  <sheetFormatPr defaultRowHeight="13.5"/>
  <cols>
    <col min="1" max="1" width="56.75" customWidth="1"/>
    <col min="2" max="3" width="16.75" bestFit="1" customWidth="1"/>
  </cols>
  <sheetData>
    <row r="1" spans="1:3">
      <c r="A1" s="306" t="s">
        <v>363</v>
      </c>
      <c r="B1" s="307"/>
      <c r="C1" s="307"/>
    </row>
    <row r="2" spans="1:3">
      <c r="A2" s="308"/>
      <c r="B2" s="308"/>
      <c r="C2" s="308"/>
    </row>
    <row r="3" spans="1:3" ht="54" customHeight="1">
      <c r="A3" s="308" t="s">
        <v>362</v>
      </c>
      <c r="B3" s="308"/>
      <c r="C3" s="308"/>
    </row>
  </sheetData>
  <mergeCells count="3">
    <mergeCell ref="A3:C3"/>
    <mergeCell ref="A1:C1"/>
    <mergeCell ref="A2:C2"/>
  </mergeCells>
  <phoneticPr fontId="9"/>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6"/>
  <sheetViews>
    <sheetView showGridLines="0" workbookViewId="0">
      <selection sqref="A1:B1"/>
    </sheetView>
  </sheetViews>
  <sheetFormatPr defaultRowHeight="13.5"/>
  <cols>
    <col min="1" max="1" width="56.75" customWidth="1"/>
    <col min="2" max="2" width="34.25" customWidth="1"/>
  </cols>
  <sheetData>
    <row r="1" spans="1:3">
      <c r="A1" s="306" t="s">
        <v>367</v>
      </c>
      <c r="B1" s="307"/>
    </row>
    <row r="2" spans="1:3">
      <c r="A2" s="308"/>
      <c r="B2" s="308"/>
    </row>
    <row r="3" spans="1:3" ht="94.5" customHeight="1">
      <c r="A3" s="308" t="s">
        <v>393</v>
      </c>
      <c r="B3" s="308"/>
    </row>
    <row r="4" spans="1:3" ht="6.75" customHeight="1">
      <c r="A4" s="308"/>
      <c r="B4" s="308"/>
    </row>
    <row r="5" spans="1:3">
      <c r="A5" s="308" t="s">
        <v>390</v>
      </c>
      <c r="B5" s="308"/>
    </row>
    <row r="6" spans="1:3" ht="13.5" customHeight="1">
      <c r="A6" s="308" t="s">
        <v>368</v>
      </c>
      <c r="B6" s="308"/>
    </row>
    <row r="7" spans="1:3" ht="13.5" customHeight="1">
      <c r="A7" s="308" t="s">
        <v>369</v>
      </c>
      <c r="B7" s="308"/>
    </row>
    <row r="8" spans="1:3">
      <c r="A8" s="308"/>
      <c r="B8" s="308"/>
    </row>
    <row r="9" spans="1:3" ht="13.5" customHeight="1">
      <c r="A9" s="308" t="s">
        <v>370</v>
      </c>
      <c r="B9" s="308"/>
    </row>
    <row r="10" spans="1:3" ht="27" customHeight="1">
      <c r="A10" s="308" t="s">
        <v>371</v>
      </c>
      <c r="B10" s="308"/>
    </row>
    <row r="11" spans="1:3" ht="6.75" customHeight="1">
      <c r="A11" s="308"/>
      <c r="B11" s="308"/>
    </row>
    <row r="12" spans="1:3" ht="26.25" customHeight="1">
      <c r="A12" s="309" t="s">
        <v>372</v>
      </c>
      <c r="B12" s="310"/>
      <c r="C12" s="301"/>
    </row>
    <row r="13" spans="1:3" ht="26.25" customHeight="1">
      <c r="A13" s="311" t="s">
        <v>373</v>
      </c>
      <c r="B13" s="304" t="s">
        <v>379</v>
      </c>
      <c r="C13" s="301"/>
    </row>
    <row r="14" spans="1:3" ht="26.25" customHeight="1">
      <c r="A14" s="312"/>
      <c r="B14" s="304" t="s">
        <v>382</v>
      </c>
      <c r="C14" s="301"/>
    </row>
    <row r="15" spans="1:3" ht="26.25" customHeight="1">
      <c r="A15" s="312"/>
      <c r="B15" s="304" t="s">
        <v>380</v>
      </c>
      <c r="C15" s="301"/>
    </row>
    <row r="16" spans="1:3" ht="26.25" customHeight="1">
      <c r="A16" s="313"/>
      <c r="B16" s="304" t="s">
        <v>383</v>
      </c>
      <c r="C16" s="301"/>
    </row>
    <row r="17" spans="1:3" ht="26.25" customHeight="1">
      <c r="A17" s="311" t="s">
        <v>374</v>
      </c>
      <c r="B17" s="304" t="s">
        <v>384</v>
      </c>
      <c r="C17" s="301"/>
    </row>
    <row r="18" spans="1:3" ht="26.25" customHeight="1">
      <c r="A18" s="312"/>
      <c r="B18" s="304" t="s">
        <v>385</v>
      </c>
      <c r="C18" s="301"/>
    </row>
    <row r="19" spans="1:3" ht="26.25" customHeight="1">
      <c r="A19" s="313"/>
      <c r="B19" s="304" t="s">
        <v>381</v>
      </c>
      <c r="C19" s="301"/>
    </row>
    <row r="20" spans="1:3" ht="26.25" customHeight="1">
      <c r="A20" s="314" t="s">
        <v>378</v>
      </c>
      <c r="B20" s="315"/>
      <c r="C20" s="301"/>
    </row>
    <row r="21" spans="1:3" ht="26.25" customHeight="1">
      <c r="A21" s="316"/>
      <c r="B21" s="317"/>
      <c r="C21" s="301"/>
    </row>
    <row r="22" spans="1:3" ht="6.75" customHeight="1">
      <c r="A22" s="308"/>
      <c r="B22" s="308"/>
    </row>
    <row r="23" spans="1:3" ht="13.5" customHeight="1">
      <c r="A23" s="308" t="s">
        <v>386</v>
      </c>
      <c r="B23" s="308"/>
    </row>
    <row r="24" spans="1:3" ht="27" customHeight="1">
      <c r="A24" s="308" t="s">
        <v>387</v>
      </c>
      <c r="B24" s="308"/>
    </row>
    <row r="25" spans="1:3" ht="13.5" customHeight="1">
      <c r="A25" s="308" t="s">
        <v>388</v>
      </c>
      <c r="B25" s="308"/>
    </row>
    <row r="26" spans="1:3" ht="13.5" customHeight="1">
      <c r="A26" s="308" t="s">
        <v>389</v>
      </c>
      <c r="B26" s="308"/>
    </row>
  </sheetData>
  <mergeCells count="20">
    <mergeCell ref="A9:B9"/>
    <mergeCell ref="A10:B10"/>
    <mergeCell ref="A11:B11"/>
    <mergeCell ref="A8:B8"/>
    <mergeCell ref="A26:B26"/>
    <mergeCell ref="A25:B25"/>
    <mergeCell ref="A1:B1"/>
    <mergeCell ref="A2:B2"/>
    <mergeCell ref="A3:B3"/>
    <mergeCell ref="A4:B4"/>
    <mergeCell ref="A5:B5"/>
    <mergeCell ref="A6:B6"/>
    <mergeCell ref="A12:B12"/>
    <mergeCell ref="A22:B22"/>
    <mergeCell ref="A23:B23"/>
    <mergeCell ref="A24:B24"/>
    <mergeCell ref="A13:A16"/>
    <mergeCell ref="A17:A19"/>
    <mergeCell ref="A20:B21"/>
    <mergeCell ref="A7:B7"/>
  </mergeCells>
  <phoneticPr fontId="9"/>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showGridLines="0" workbookViewId="0">
      <selection sqref="A1:C1"/>
    </sheetView>
  </sheetViews>
  <sheetFormatPr defaultRowHeight="13.5"/>
  <cols>
    <col min="1" max="1" width="56.75" customWidth="1"/>
    <col min="2" max="3" width="16.75" bestFit="1" customWidth="1"/>
  </cols>
  <sheetData>
    <row r="1" spans="1:3">
      <c r="A1" s="306" t="s">
        <v>394</v>
      </c>
      <c r="B1" s="307"/>
      <c r="C1" s="307"/>
    </row>
    <row r="2" spans="1:3">
      <c r="A2" s="308"/>
      <c r="B2" s="308"/>
      <c r="C2" s="308"/>
    </row>
    <row r="3" spans="1:3" ht="67.5" customHeight="1">
      <c r="A3" s="308" t="s">
        <v>397</v>
      </c>
      <c r="B3" s="308"/>
      <c r="C3" s="308"/>
    </row>
    <row r="4" spans="1:3" ht="6.75" customHeight="1">
      <c r="A4" s="308"/>
      <c r="B4" s="308"/>
      <c r="C4" s="308"/>
    </row>
    <row r="5" spans="1:3">
      <c r="A5" s="308" t="s">
        <v>390</v>
      </c>
      <c r="B5" s="308"/>
    </row>
    <row r="6" spans="1:3">
      <c r="A6" s="308" t="s">
        <v>396</v>
      </c>
      <c r="B6" s="308"/>
      <c r="C6" s="308"/>
    </row>
    <row r="7" spans="1:3">
      <c r="A7" s="308" t="s">
        <v>395</v>
      </c>
      <c r="B7" s="308"/>
      <c r="C7" s="308"/>
    </row>
  </sheetData>
  <mergeCells count="7">
    <mergeCell ref="A7:C7"/>
    <mergeCell ref="A5:B5"/>
    <mergeCell ref="A1:C1"/>
    <mergeCell ref="A2:C2"/>
    <mergeCell ref="A3:C3"/>
    <mergeCell ref="A4:C4"/>
    <mergeCell ref="A6:C6"/>
  </mergeCells>
  <phoneticPr fontId="9"/>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560"/>
  <sheetViews>
    <sheetView zoomScale="60" zoomScaleNormal="60" workbookViewId="0"/>
  </sheetViews>
  <sheetFormatPr defaultRowHeight="13.5"/>
  <cols>
    <col min="1" max="1" width="6" style="58" bestFit="1" customWidth="1"/>
    <col min="2" max="2" width="14.5" style="58" customWidth="1"/>
    <col min="3" max="3" width="35.375" style="59" bestFit="1" customWidth="1"/>
    <col min="4" max="4" width="41.5" style="59" customWidth="1"/>
    <col min="5" max="5" width="61.125" style="60" customWidth="1"/>
    <col min="6" max="6" width="50.625" style="59" customWidth="1"/>
    <col min="7" max="7" width="72" style="59" bestFit="1" customWidth="1"/>
    <col min="8" max="85" width="9" style="62"/>
    <col min="86" max="86" width="6" style="62" bestFit="1" customWidth="1"/>
    <col min="87" max="87" width="32.75" style="62" bestFit="1" customWidth="1"/>
    <col min="88" max="88" width="57" style="62" customWidth="1"/>
    <col min="89" max="89" width="51.5" style="62" customWidth="1"/>
    <col min="90" max="90" width="38.25" style="62" customWidth="1"/>
    <col min="91" max="91" width="21.375" style="62" customWidth="1"/>
    <col min="92" max="341" width="9" style="62"/>
    <col min="342" max="342" width="6" style="62" bestFit="1" customWidth="1"/>
    <col min="343" max="343" width="32.75" style="62" bestFit="1" customWidth="1"/>
    <col min="344" max="344" width="57" style="62" customWidth="1"/>
    <col min="345" max="345" width="51.5" style="62" customWidth="1"/>
    <col min="346" max="346" width="38.25" style="62" customWidth="1"/>
    <col min="347" max="347" width="21.375" style="62" customWidth="1"/>
    <col min="348" max="597" width="9" style="62"/>
    <col min="598" max="598" width="6" style="62" bestFit="1" customWidth="1"/>
    <col min="599" max="599" width="32.75" style="62" bestFit="1" customWidth="1"/>
    <col min="600" max="600" width="57" style="62" customWidth="1"/>
    <col min="601" max="601" width="51.5" style="62" customWidth="1"/>
    <col min="602" max="602" width="38.25" style="62" customWidth="1"/>
    <col min="603" max="603" width="21.375" style="62" customWidth="1"/>
    <col min="604" max="853" width="9" style="62"/>
    <col min="854" max="854" width="6" style="62" bestFit="1" customWidth="1"/>
    <col min="855" max="855" width="32.75" style="62" bestFit="1" customWidth="1"/>
    <col min="856" max="856" width="57" style="62" customWidth="1"/>
    <col min="857" max="857" width="51.5" style="62" customWidth="1"/>
    <col min="858" max="858" width="38.25" style="62" customWidth="1"/>
    <col min="859" max="859" width="21.375" style="62" customWidth="1"/>
    <col min="860" max="1268" width="9" style="62"/>
    <col min="1269" max="1269" width="6" style="62" bestFit="1" customWidth="1"/>
    <col min="1270" max="1270" width="32.75" style="62" bestFit="1" customWidth="1"/>
    <col min="1271" max="1271" width="57" style="62" customWidth="1"/>
    <col min="1272" max="1272" width="51.5" style="62" customWidth="1"/>
    <col min="1273" max="1273" width="38.25" style="62" customWidth="1"/>
    <col min="1274" max="1274" width="21.375" style="62" customWidth="1"/>
    <col min="1275" max="1524" width="9" style="62"/>
    <col min="1525" max="1525" width="6" style="62" bestFit="1" customWidth="1"/>
    <col min="1526" max="1526" width="32.75" style="62" bestFit="1" customWidth="1"/>
    <col min="1527" max="1527" width="57" style="62" customWidth="1"/>
    <col min="1528" max="1528" width="51.5" style="62" customWidth="1"/>
    <col min="1529" max="1529" width="38.25" style="62" customWidth="1"/>
    <col min="1530" max="1530" width="21.375" style="62" customWidth="1"/>
    <col min="1531" max="1780" width="9" style="62"/>
    <col min="1781" max="1781" width="6" style="62" bestFit="1" customWidth="1"/>
    <col min="1782" max="1782" width="32.75" style="62" bestFit="1" customWidth="1"/>
    <col min="1783" max="1783" width="57" style="62" customWidth="1"/>
    <col min="1784" max="1784" width="51.5" style="62" customWidth="1"/>
    <col min="1785" max="1785" width="38.25" style="62" customWidth="1"/>
    <col min="1786" max="1786" width="21.375" style="62" customWidth="1"/>
    <col min="1787" max="2036" width="9" style="62"/>
    <col min="2037" max="2037" width="6" style="62" bestFit="1" customWidth="1"/>
    <col min="2038" max="2038" width="32.75" style="62" bestFit="1" customWidth="1"/>
    <col min="2039" max="2039" width="57" style="62" customWidth="1"/>
    <col min="2040" max="2040" width="51.5" style="62" customWidth="1"/>
    <col min="2041" max="2041" width="38.25" style="62" customWidth="1"/>
    <col min="2042" max="2042" width="21.375" style="62" customWidth="1"/>
    <col min="2043" max="2292" width="9" style="62"/>
    <col min="2293" max="2293" width="6" style="62" bestFit="1" customWidth="1"/>
    <col min="2294" max="2294" width="32.75" style="62" bestFit="1" customWidth="1"/>
    <col min="2295" max="2295" width="57" style="62" customWidth="1"/>
    <col min="2296" max="2296" width="51.5" style="62" customWidth="1"/>
    <col min="2297" max="2297" width="38.25" style="62" customWidth="1"/>
    <col min="2298" max="2298" width="21.375" style="62" customWidth="1"/>
    <col min="2299" max="2548" width="9" style="62"/>
    <col min="2549" max="2549" width="6" style="62" bestFit="1" customWidth="1"/>
    <col min="2550" max="2550" width="32.75" style="62" bestFit="1" customWidth="1"/>
    <col min="2551" max="2551" width="57" style="62" customWidth="1"/>
    <col min="2552" max="2552" width="51.5" style="62" customWidth="1"/>
    <col min="2553" max="2553" width="38.25" style="62" customWidth="1"/>
    <col min="2554" max="2554" width="21.375" style="62" customWidth="1"/>
    <col min="2555" max="2804" width="9" style="62"/>
    <col min="2805" max="2805" width="6" style="62" bestFit="1" customWidth="1"/>
    <col min="2806" max="2806" width="32.75" style="62" bestFit="1" customWidth="1"/>
    <col min="2807" max="2807" width="57" style="62" customWidth="1"/>
    <col min="2808" max="2808" width="51.5" style="62" customWidth="1"/>
    <col min="2809" max="2809" width="38.25" style="62" customWidth="1"/>
    <col min="2810" max="2810" width="21.375" style="62" customWidth="1"/>
    <col min="2811" max="3060" width="9" style="62"/>
    <col min="3061" max="3061" width="6" style="62" bestFit="1" customWidth="1"/>
    <col min="3062" max="3062" width="32.75" style="62" bestFit="1" customWidth="1"/>
    <col min="3063" max="3063" width="57" style="62" customWidth="1"/>
    <col min="3064" max="3064" width="51.5" style="62" customWidth="1"/>
    <col min="3065" max="3065" width="38.25" style="62" customWidth="1"/>
    <col min="3066" max="3066" width="21.375" style="62" customWidth="1"/>
    <col min="3067" max="3316" width="9" style="62"/>
    <col min="3317" max="3317" width="6" style="62" bestFit="1" customWidth="1"/>
    <col min="3318" max="3318" width="32.75" style="62" bestFit="1" customWidth="1"/>
    <col min="3319" max="3319" width="57" style="62" customWidth="1"/>
    <col min="3320" max="3320" width="51.5" style="62" customWidth="1"/>
    <col min="3321" max="3321" width="38.25" style="62" customWidth="1"/>
    <col min="3322" max="3322" width="21.375" style="62" customWidth="1"/>
    <col min="3323" max="3572" width="9" style="62"/>
    <col min="3573" max="3573" width="6" style="62" bestFit="1" customWidth="1"/>
    <col min="3574" max="3574" width="32.75" style="62" bestFit="1" customWidth="1"/>
    <col min="3575" max="3575" width="57" style="62" customWidth="1"/>
    <col min="3576" max="3576" width="51.5" style="62" customWidth="1"/>
    <col min="3577" max="3577" width="38.25" style="62" customWidth="1"/>
    <col min="3578" max="3578" width="21.375" style="62" customWidth="1"/>
    <col min="3579" max="3828" width="9" style="62"/>
    <col min="3829" max="3829" width="6" style="62" bestFit="1" customWidth="1"/>
    <col min="3830" max="3830" width="32.75" style="62" bestFit="1" customWidth="1"/>
    <col min="3831" max="3831" width="57" style="62" customWidth="1"/>
    <col min="3832" max="3832" width="51.5" style="62" customWidth="1"/>
    <col min="3833" max="3833" width="38.25" style="62" customWidth="1"/>
    <col min="3834" max="3834" width="21.375" style="62" customWidth="1"/>
    <col min="3835" max="4084" width="9" style="62"/>
    <col min="4085" max="4085" width="6" style="62" bestFit="1" customWidth="1"/>
    <col min="4086" max="4086" width="32.75" style="62" bestFit="1" customWidth="1"/>
    <col min="4087" max="4087" width="57" style="62" customWidth="1"/>
    <col min="4088" max="4088" width="51.5" style="62" customWidth="1"/>
    <col min="4089" max="4089" width="38.25" style="62" customWidth="1"/>
    <col min="4090" max="4090" width="21.375" style="62" customWidth="1"/>
    <col min="4091" max="4340" width="9" style="62"/>
    <col min="4341" max="4341" width="6" style="62" bestFit="1" customWidth="1"/>
    <col min="4342" max="4342" width="32.75" style="62" bestFit="1" customWidth="1"/>
    <col min="4343" max="4343" width="57" style="62" customWidth="1"/>
    <col min="4344" max="4344" width="51.5" style="62" customWidth="1"/>
    <col min="4345" max="4345" width="38.25" style="62" customWidth="1"/>
    <col min="4346" max="4346" width="21.375" style="62" customWidth="1"/>
    <col min="4347" max="4596" width="9" style="62"/>
    <col min="4597" max="4597" width="6" style="62" bestFit="1" customWidth="1"/>
    <col min="4598" max="4598" width="32.75" style="62" bestFit="1" customWidth="1"/>
    <col min="4599" max="4599" width="57" style="62" customWidth="1"/>
    <col min="4600" max="4600" width="51.5" style="62" customWidth="1"/>
    <col min="4601" max="4601" width="38.25" style="62" customWidth="1"/>
    <col min="4602" max="4602" width="21.375" style="62" customWidth="1"/>
    <col min="4603" max="4852" width="9" style="62"/>
    <col min="4853" max="4853" width="6" style="62" bestFit="1" customWidth="1"/>
    <col min="4854" max="4854" width="32.75" style="62" bestFit="1" customWidth="1"/>
    <col min="4855" max="4855" width="57" style="62" customWidth="1"/>
    <col min="4856" max="4856" width="51.5" style="62" customWidth="1"/>
    <col min="4857" max="4857" width="38.25" style="62" customWidth="1"/>
    <col min="4858" max="4858" width="21.375" style="62" customWidth="1"/>
    <col min="4859" max="5108" width="9" style="62"/>
    <col min="5109" max="5109" width="6" style="62" bestFit="1" customWidth="1"/>
    <col min="5110" max="5110" width="32.75" style="62" bestFit="1" customWidth="1"/>
    <col min="5111" max="5111" width="57" style="62" customWidth="1"/>
    <col min="5112" max="5112" width="51.5" style="62" customWidth="1"/>
    <col min="5113" max="5113" width="38.25" style="62" customWidth="1"/>
    <col min="5114" max="5114" width="21.375" style="62" customWidth="1"/>
    <col min="5115" max="5364" width="9" style="62"/>
    <col min="5365" max="5365" width="6" style="62" bestFit="1" customWidth="1"/>
    <col min="5366" max="5366" width="32.75" style="62" bestFit="1" customWidth="1"/>
    <col min="5367" max="5367" width="57" style="62" customWidth="1"/>
    <col min="5368" max="5368" width="51.5" style="62" customWidth="1"/>
    <col min="5369" max="5369" width="38.25" style="62" customWidth="1"/>
    <col min="5370" max="5370" width="21.375" style="62" customWidth="1"/>
    <col min="5371" max="5620" width="9" style="62"/>
    <col min="5621" max="5621" width="6" style="62" bestFit="1" customWidth="1"/>
    <col min="5622" max="5622" width="32.75" style="62" bestFit="1" customWidth="1"/>
    <col min="5623" max="5623" width="57" style="62" customWidth="1"/>
    <col min="5624" max="5624" width="51.5" style="62" customWidth="1"/>
    <col min="5625" max="5625" width="38.25" style="62" customWidth="1"/>
    <col min="5626" max="5626" width="21.375" style="62" customWidth="1"/>
    <col min="5627" max="5876" width="9" style="62"/>
    <col min="5877" max="5877" width="6" style="62" bestFit="1" customWidth="1"/>
    <col min="5878" max="5878" width="32.75" style="62" bestFit="1" customWidth="1"/>
    <col min="5879" max="5879" width="57" style="62" customWidth="1"/>
    <col min="5880" max="5880" width="51.5" style="62" customWidth="1"/>
    <col min="5881" max="5881" width="38.25" style="62" customWidth="1"/>
    <col min="5882" max="5882" width="21.375" style="62" customWidth="1"/>
    <col min="5883" max="6132" width="9" style="62"/>
    <col min="6133" max="6133" width="6" style="62" bestFit="1" customWidth="1"/>
    <col min="6134" max="6134" width="32.75" style="62" bestFit="1" customWidth="1"/>
    <col min="6135" max="6135" width="57" style="62" customWidth="1"/>
    <col min="6136" max="6136" width="51.5" style="62" customWidth="1"/>
    <col min="6137" max="6137" width="38.25" style="62" customWidth="1"/>
    <col min="6138" max="6138" width="21.375" style="62" customWidth="1"/>
    <col min="6139" max="6388" width="9" style="62"/>
    <col min="6389" max="6389" width="6" style="62" bestFit="1" customWidth="1"/>
    <col min="6390" max="6390" width="32.75" style="62" bestFit="1" customWidth="1"/>
    <col min="6391" max="6391" width="57" style="62" customWidth="1"/>
    <col min="6392" max="6392" width="51.5" style="62" customWidth="1"/>
    <col min="6393" max="6393" width="38.25" style="62" customWidth="1"/>
    <col min="6394" max="6394" width="21.375" style="62" customWidth="1"/>
    <col min="6395" max="6644" width="9" style="62"/>
    <col min="6645" max="6645" width="6" style="62" bestFit="1" customWidth="1"/>
    <col min="6646" max="6646" width="32.75" style="62" bestFit="1" customWidth="1"/>
    <col min="6647" max="6647" width="57" style="62" customWidth="1"/>
    <col min="6648" max="6648" width="51.5" style="62" customWidth="1"/>
    <col min="6649" max="6649" width="38.25" style="62" customWidth="1"/>
    <col min="6650" max="6650" width="21.375" style="62" customWidth="1"/>
    <col min="6651" max="6900" width="9" style="62"/>
    <col min="6901" max="6901" width="6" style="62" bestFit="1" customWidth="1"/>
    <col min="6902" max="6902" width="32.75" style="62" bestFit="1" customWidth="1"/>
    <col min="6903" max="6903" width="57" style="62" customWidth="1"/>
    <col min="6904" max="6904" width="51.5" style="62" customWidth="1"/>
    <col min="6905" max="6905" width="38.25" style="62" customWidth="1"/>
    <col min="6906" max="6906" width="21.375" style="62" customWidth="1"/>
    <col min="6907" max="7156" width="9" style="62"/>
    <col min="7157" max="7157" width="6" style="62" bestFit="1" customWidth="1"/>
    <col min="7158" max="7158" width="32.75" style="62" bestFit="1" customWidth="1"/>
    <col min="7159" max="7159" width="57" style="62" customWidth="1"/>
    <col min="7160" max="7160" width="51.5" style="62" customWidth="1"/>
    <col min="7161" max="7161" width="38.25" style="62" customWidth="1"/>
    <col min="7162" max="7162" width="21.375" style="62" customWidth="1"/>
    <col min="7163" max="7412" width="9" style="62"/>
    <col min="7413" max="7413" width="6" style="62" bestFit="1" customWidth="1"/>
    <col min="7414" max="7414" width="32.75" style="62" bestFit="1" customWidth="1"/>
    <col min="7415" max="7415" width="57" style="62" customWidth="1"/>
    <col min="7416" max="7416" width="51.5" style="62" customWidth="1"/>
    <col min="7417" max="7417" width="38.25" style="62" customWidth="1"/>
    <col min="7418" max="7418" width="21.375" style="62" customWidth="1"/>
    <col min="7419" max="7668" width="9" style="62"/>
    <col min="7669" max="7669" width="6" style="62" bestFit="1" customWidth="1"/>
    <col min="7670" max="7670" width="32.75" style="62" bestFit="1" customWidth="1"/>
    <col min="7671" max="7671" width="57" style="62" customWidth="1"/>
    <col min="7672" max="7672" width="51.5" style="62" customWidth="1"/>
    <col min="7673" max="7673" width="38.25" style="62" customWidth="1"/>
    <col min="7674" max="7674" width="21.375" style="62" customWidth="1"/>
    <col min="7675" max="7924" width="9" style="62"/>
    <col min="7925" max="7925" width="6" style="62" bestFit="1" customWidth="1"/>
    <col min="7926" max="7926" width="32.75" style="62" bestFit="1" customWidth="1"/>
    <col min="7927" max="7927" width="57" style="62" customWidth="1"/>
    <col min="7928" max="7928" width="51.5" style="62" customWidth="1"/>
    <col min="7929" max="7929" width="38.25" style="62" customWidth="1"/>
    <col min="7930" max="7930" width="21.375" style="62" customWidth="1"/>
    <col min="7931" max="8180" width="9" style="62"/>
    <col min="8181" max="8181" width="6" style="62" bestFit="1" customWidth="1"/>
    <col min="8182" max="8182" width="32.75" style="62" bestFit="1" customWidth="1"/>
    <col min="8183" max="8183" width="57" style="62" customWidth="1"/>
    <col min="8184" max="8184" width="51.5" style="62" customWidth="1"/>
    <col min="8185" max="8185" width="38.25" style="62" customWidth="1"/>
    <col min="8186" max="8186" width="21.375" style="62" customWidth="1"/>
    <col min="8187" max="8436" width="9" style="62"/>
    <col min="8437" max="8437" width="6" style="62" bestFit="1" customWidth="1"/>
    <col min="8438" max="8438" width="32.75" style="62" bestFit="1" customWidth="1"/>
    <col min="8439" max="8439" width="57" style="62" customWidth="1"/>
    <col min="8440" max="8440" width="51.5" style="62" customWidth="1"/>
    <col min="8441" max="8441" width="38.25" style="62" customWidth="1"/>
    <col min="8442" max="8442" width="21.375" style="62" customWidth="1"/>
    <col min="8443" max="8692" width="9" style="62"/>
    <col min="8693" max="8693" width="6" style="62" bestFit="1" customWidth="1"/>
    <col min="8694" max="8694" width="32.75" style="62" bestFit="1" customWidth="1"/>
    <col min="8695" max="8695" width="57" style="62" customWidth="1"/>
    <col min="8696" max="8696" width="51.5" style="62" customWidth="1"/>
    <col min="8697" max="8697" width="38.25" style="62" customWidth="1"/>
    <col min="8698" max="8698" width="21.375" style="62" customWidth="1"/>
    <col min="8699" max="8948" width="9" style="62"/>
    <col min="8949" max="8949" width="6" style="62" bestFit="1" customWidth="1"/>
    <col min="8950" max="8950" width="32.75" style="62" bestFit="1" customWidth="1"/>
    <col min="8951" max="8951" width="57" style="62" customWidth="1"/>
    <col min="8952" max="8952" width="51.5" style="62" customWidth="1"/>
    <col min="8953" max="8953" width="38.25" style="62" customWidth="1"/>
    <col min="8954" max="8954" width="21.375" style="62" customWidth="1"/>
    <col min="8955" max="9204" width="9" style="62"/>
    <col min="9205" max="9205" width="6" style="62" bestFit="1" customWidth="1"/>
    <col min="9206" max="9206" width="32.75" style="62" bestFit="1" customWidth="1"/>
    <col min="9207" max="9207" width="57" style="62" customWidth="1"/>
    <col min="9208" max="9208" width="51.5" style="62" customWidth="1"/>
    <col min="9209" max="9209" width="38.25" style="62" customWidth="1"/>
    <col min="9210" max="9210" width="21.375" style="62" customWidth="1"/>
    <col min="9211" max="9460" width="9" style="62"/>
    <col min="9461" max="9461" width="6" style="62" bestFit="1" customWidth="1"/>
    <col min="9462" max="9462" width="32.75" style="62" bestFit="1" customWidth="1"/>
    <col min="9463" max="9463" width="57" style="62" customWidth="1"/>
    <col min="9464" max="9464" width="51.5" style="62" customWidth="1"/>
    <col min="9465" max="9465" width="38.25" style="62" customWidth="1"/>
    <col min="9466" max="9466" width="21.375" style="62" customWidth="1"/>
    <col min="9467" max="9716" width="9" style="62"/>
    <col min="9717" max="9717" width="6" style="62" bestFit="1" customWidth="1"/>
    <col min="9718" max="9718" width="32.75" style="62" bestFit="1" customWidth="1"/>
    <col min="9719" max="9719" width="57" style="62" customWidth="1"/>
    <col min="9720" max="9720" width="51.5" style="62" customWidth="1"/>
    <col min="9721" max="9721" width="38.25" style="62" customWidth="1"/>
    <col min="9722" max="9722" width="21.375" style="62" customWidth="1"/>
    <col min="9723" max="9972" width="9" style="62"/>
    <col min="9973" max="9973" width="6" style="62" bestFit="1" customWidth="1"/>
    <col min="9974" max="9974" width="32.75" style="62" bestFit="1" customWidth="1"/>
    <col min="9975" max="9975" width="57" style="62" customWidth="1"/>
    <col min="9976" max="9976" width="51.5" style="62" customWidth="1"/>
    <col min="9977" max="9977" width="38.25" style="62" customWidth="1"/>
    <col min="9978" max="9978" width="21.375" style="62" customWidth="1"/>
    <col min="9979" max="10228" width="9" style="62"/>
    <col min="10229" max="10229" width="6" style="62" bestFit="1" customWidth="1"/>
    <col min="10230" max="10230" width="32.75" style="62" bestFit="1" customWidth="1"/>
    <col min="10231" max="10231" width="57" style="62" customWidth="1"/>
    <col min="10232" max="10232" width="51.5" style="62" customWidth="1"/>
    <col min="10233" max="10233" width="38.25" style="62" customWidth="1"/>
    <col min="10234" max="10234" width="21.375" style="62" customWidth="1"/>
    <col min="10235" max="10484" width="9" style="62"/>
    <col min="10485" max="10485" width="6" style="62" bestFit="1" customWidth="1"/>
    <col min="10486" max="10486" width="32.75" style="62" bestFit="1" customWidth="1"/>
    <col min="10487" max="10487" width="57" style="62" customWidth="1"/>
    <col min="10488" max="10488" width="51.5" style="62" customWidth="1"/>
    <col min="10489" max="10489" width="38.25" style="62" customWidth="1"/>
    <col min="10490" max="10490" width="21.375" style="62" customWidth="1"/>
    <col min="10491" max="10740" width="9" style="62"/>
    <col min="10741" max="10741" width="6" style="62" bestFit="1" customWidth="1"/>
    <col min="10742" max="10742" width="32.75" style="62" bestFit="1" customWidth="1"/>
    <col min="10743" max="10743" width="57" style="62" customWidth="1"/>
    <col min="10744" max="10744" width="51.5" style="62" customWidth="1"/>
    <col min="10745" max="10745" width="38.25" style="62" customWidth="1"/>
    <col min="10746" max="10746" width="21.375" style="62" customWidth="1"/>
    <col min="10747" max="10996" width="9" style="62"/>
    <col min="10997" max="10997" width="6" style="62" bestFit="1" customWidth="1"/>
    <col min="10998" max="10998" width="32.75" style="62" bestFit="1" customWidth="1"/>
    <col min="10999" max="10999" width="57" style="62" customWidth="1"/>
    <col min="11000" max="11000" width="51.5" style="62" customWidth="1"/>
    <col min="11001" max="11001" width="38.25" style="62" customWidth="1"/>
    <col min="11002" max="11002" width="21.375" style="62" customWidth="1"/>
    <col min="11003" max="11252" width="9" style="62"/>
    <col min="11253" max="11253" width="6" style="62" bestFit="1" customWidth="1"/>
    <col min="11254" max="11254" width="32.75" style="62" bestFit="1" customWidth="1"/>
    <col min="11255" max="11255" width="57" style="62" customWidth="1"/>
    <col min="11256" max="11256" width="51.5" style="62" customWidth="1"/>
    <col min="11257" max="11257" width="38.25" style="62" customWidth="1"/>
    <col min="11258" max="11258" width="21.375" style="62" customWidth="1"/>
    <col min="11259" max="11508" width="9" style="62"/>
    <col min="11509" max="11509" width="6" style="62" bestFit="1" customWidth="1"/>
    <col min="11510" max="11510" width="32.75" style="62" bestFit="1" customWidth="1"/>
    <col min="11511" max="11511" width="57" style="62" customWidth="1"/>
    <col min="11512" max="11512" width="51.5" style="62" customWidth="1"/>
    <col min="11513" max="11513" width="38.25" style="62" customWidth="1"/>
    <col min="11514" max="11514" width="21.375" style="62" customWidth="1"/>
    <col min="11515" max="11764" width="9" style="62"/>
    <col min="11765" max="11765" width="6" style="62" bestFit="1" customWidth="1"/>
    <col min="11766" max="11766" width="32.75" style="62" bestFit="1" customWidth="1"/>
    <col min="11767" max="11767" width="57" style="62" customWidth="1"/>
    <col min="11768" max="11768" width="51.5" style="62" customWidth="1"/>
    <col min="11769" max="11769" width="38.25" style="62" customWidth="1"/>
    <col min="11770" max="11770" width="21.375" style="62" customWidth="1"/>
    <col min="11771" max="12020" width="9" style="62"/>
    <col min="12021" max="12021" width="6" style="62" bestFit="1" customWidth="1"/>
    <col min="12022" max="12022" width="32.75" style="62" bestFit="1" customWidth="1"/>
    <col min="12023" max="12023" width="57" style="62" customWidth="1"/>
    <col min="12024" max="12024" width="51.5" style="62" customWidth="1"/>
    <col min="12025" max="12025" width="38.25" style="62" customWidth="1"/>
    <col min="12026" max="12026" width="21.375" style="62" customWidth="1"/>
    <col min="12027" max="12276" width="9" style="62"/>
    <col min="12277" max="12277" width="6" style="62" bestFit="1" customWidth="1"/>
    <col min="12278" max="12278" width="32.75" style="62" bestFit="1" customWidth="1"/>
    <col min="12279" max="12279" width="57" style="62" customWidth="1"/>
    <col min="12280" max="12280" width="51.5" style="62" customWidth="1"/>
    <col min="12281" max="12281" width="38.25" style="62" customWidth="1"/>
    <col min="12282" max="12282" width="21.375" style="62" customWidth="1"/>
    <col min="12283" max="12532" width="9" style="62"/>
    <col min="12533" max="12533" width="6" style="62" bestFit="1" customWidth="1"/>
    <col min="12534" max="12534" width="32.75" style="62" bestFit="1" customWidth="1"/>
    <col min="12535" max="12535" width="57" style="62" customWidth="1"/>
    <col min="12536" max="12536" width="51.5" style="62" customWidth="1"/>
    <col min="12537" max="12537" width="38.25" style="62" customWidth="1"/>
    <col min="12538" max="12538" width="21.375" style="62" customWidth="1"/>
    <col min="12539" max="12788" width="9" style="62"/>
    <col min="12789" max="12789" width="6" style="62" bestFit="1" customWidth="1"/>
    <col min="12790" max="12790" width="32.75" style="62" bestFit="1" customWidth="1"/>
    <col min="12791" max="12791" width="57" style="62" customWidth="1"/>
    <col min="12792" max="12792" width="51.5" style="62" customWidth="1"/>
    <col min="12793" max="12793" width="38.25" style="62" customWidth="1"/>
    <col min="12794" max="12794" width="21.375" style="62" customWidth="1"/>
    <col min="12795" max="13044" width="9" style="62"/>
    <col min="13045" max="13045" width="6" style="62" bestFit="1" customWidth="1"/>
    <col min="13046" max="13046" width="32.75" style="62" bestFit="1" customWidth="1"/>
    <col min="13047" max="13047" width="57" style="62" customWidth="1"/>
    <col min="13048" max="13048" width="51.5" style="62" customWidth="1"/>
    <col min="13049" max="13049" width="38.25" style="62" customWidth="1"/>
    <col min="13050" max="13050" width="21.375" style="62" customWidth="1"/>
    <col min="13051" max="13300" width="9" style="62"/>
    <col min="13301" max="13301" width="6" style="62" bestFit="1" customWidth="1"/>
    <col min="13302" max="13302" width="32.75" style="62" bestFit="1" customWidth="1"/>
    <col min="13303" max="13303" width="57" style="62" customWidth="1"/>
    <col min="13304" max="13304" width="51.5" style="62" customWidth="1"/>
    <col min="13305" max="13305" width="38.25" style="62" customWidth="1"/>
    <col min="13306" max="13306" width="21.375" style="62" customWidth="1"/>
    <col min="13307" max="13556" width="9" style="62"/>
    <col min="13557" max="13557" width="6" style="62" bestFit="1" customWidth="1"/>
    <col min="13558" max="13558" width="32.75" style="62" bestFit="1" customWidth="1"/>
    <col min="13559" max="13559" width="57" style="62" customWidth="1"/>
    <col min="13560" max="13560" width="51.5" style="62" customWidth="1"/>
    <col min="13561" max="13561" width="38.25" style="62" customWidth="1"/>
    <col min="13562" max="13562" width="21.375" style="62" customWidth="1"/>
    <col min="13563" max="13812" width="9" style="62"/>
    <col min="13813" max="13813" width="6" style="62" bestFit="1" customWidth="1"/>
    <col min="13814" max="13814" width="32.75" style="62" bestFit="1" customWidth="1"/>
    <col min="13815" max="13815" width="57" style="62" customWidth="1"/>
    <col min="13816" max="13816" width="51.5" style="62" customWidth="1"/>
    <col min="13817" max="13817" width="38.25" style="62" customWidth="1"/>
    <col min="13818" max="13818" width="21.375" style="62" customWidth="1"/>
    <col min="13819" max="16384" width="9" style="62"/>
  </cols>
  <sheetData>
    <row r="1" spans="1:14" ht="33" customHeight="1">
      <c r="G1" s="61" t="s">
        <v>128</v>
      </c>
    </row>
    <row r="2" spans="1:14" ht="14.25">
      <c r="A2" s="63" t="s">
        <v>293</v>
      </c>
      <c r="B2" s="63"/>
      <c r="C2" s="58"/>
      <c r="D2" s="58"/>
      <c r="G2" s="62"/>
    </row>
    <row r="3" spans="1:14" ht="14.25">
      <c r="A3" s="63" t="s">
        <v>401</v>
      </c>
      <c r="B3" s="63"/>
      <c r="C3" s="58"/>
      <c r="D3" s="58"/>
      <c r="G3" s="62"/>
    </row>
    <row r="4" spans="1:14" ht="14.25" thickBot="1">
      <c r="G4" s="62"/>
    </row>
    <row r="5" spans="1:14" ht="37.5" customHeight="1" thickTop="1">
      <c r="A5" s="64" t="s">
        <v>65</v>
      </c>
      <c r="B5" s="64" t="s">
        <v>66</v>
      </c>
      <c r="C5" s="333" t="s">
        <v>0</v>
      </c>
      <c r="D5" s="334"/>
      <c r="E5" s="65" t="s">
        <v>126</v>
      </c>
      <c r="F5" s="37" t="s">
        <v>67</v>
      </c>
      <c r="G5" s="37" t="s">
        <v>68</v>
      </c>
    </row>
    <row r="6" spans="1:14" ht="30" customHeight="1">
      <c r="A6" s="115">
        <f>ROW()-6</f>
        <v>0</v>
      </c>
      <c r="B6" s="116" t="s">
        <v>69</v>
      </c>
      <c r="C6" s="335" t="s">
        <v>70</v>
      </c>
      <c r="D6" s="336"/>
      <c r="E6" s="38" t="s">
        <v>71</v>
      </c>
      <c r="F6" s="117" t="s">
        <v>71</v>
      </c>
      <c r="G6" s="118" t="s">
        <v>72</v>
      </c>
    </row>
    <row r="7" spans="1:14" ht="123" customHeight="1">
      <c r="A7" s="115">
        <f t="shared" ref="A7:A72" si="0">ROW()-6</f>
        <v>1</v>
      </c>
      <c r="B7" s="116" t="s">
        <v>69</v>
      </c>
      <c r="C7" s="337" t="s">
        <v>212</v>
      </c>
      <c r="D7" s="338"/>
      <c r="E7" s="53"/>
      <c r="F7" s="119" t="s">
        <v>211</v>
      </c>
      <c r="G7" s="120"/>
      <c r="L7" s="69"/>
      <c r="M7" s="69"/>
    </row>
    <row r="8" spans="1:14" ht="30" customHeight="1">
      <c r="A8" s="115">
        <f t="shared" si="0"/>
        <v>2</v>
      </c>
      <c r="B8" s="116" t="s">
        <v>69</v>
      </c>
      <c r="C8" s="337" t="s">
        <v>197</v>
      </c>
      <c r="D8" s="336"/>
      <c r="E8" s="38"/>
      <c r="F8" s="119" t="s">
        <v>101</v>
      </c>
      <c r="G8" s="120" t="s">
        <v>123</v>
      </c>
      <c r="L8" s="69"/>
    </row>
    <row r="9" spans="1:14" ht="81.75" customHeight="1">
      <c r="A9" s="115">
        <f t="shared" si="0"/>
        <v>3</v>
      </c>
      <c r="B9" s="116" t="s">
        <v>69</v>
      </c>
      <c r="C9" s="339" t="s">
        <v>122</v>
      </c>
      <c r="D9" s="340"/>
      <c r="E9" s="39"/>
      <c r="F9" s="121" t="s">
        <v>73</v>
      </c>
      <c r="G9" s="120" t="s">
        <v>124</v>
      </c>
      <c r="L9" s="69"/>
    </row>
    <row r="10" spans="1:14" ht="30" customHeight="1">
      <c r="A10" s="81">
        <f t="shared" si="0"/>
        <v>4</v>
      </c>
      <c r="B10" s="82" t="s">
        <v>210</v>
      </c>
      <c r="C10" s="322" t="s">
        <v>213</v>
      </c>
      <c r="D10" s="323"/>
      <c r="E10" s="38" t="s">
        <v>214</v>
      </c>
      <c r="F10" s="124" t="s">
        <v>217</v>
      </c>
      <c r="G10" s="87" t="s">
        <v>402</v>
      </c>
      <c r="L10" s="69"/>
      <c r="M10" s="69"/>
      <c r="N10" s="69"/>
    </row>
    <row r="11" spans="1:14" ht="30" customHeight="1">
      <c r="A11" s="81">
        <f t="shared" si="0"/>
        <v>5</v>
      </c>
      <c r="B11" s="122" t="s">
        <v>210</v>
      </c>
      <c r="C11" s="326" t="s">
        <v>74</v>
      </c>
      <c r="D11" s="123" t="s">
        <v>125</v>
      </c>
      <c r="E11" s="38"/>
      <c r="F11" s="83" t="s">
        <v>75</v>
      </c>
      <c r="G11" s="84" t="s">
        <v>76</v>
      </c>
    </row>
    <row r="12" spans="1:14" ht="30" customHeight="1">
      <c r="A12" s="81">
        <f t="shared" si="0"/>
        <v>6</v>
      </c>
      <c r="B12" s="82" t="s">
        <v>210</v>
      </c>
      <c r="C12" s="327"/>
      <c r="D12" s="123" t="s">
        <v>198</v>
      </c>
      <c r="E12" s="40"/>
      <c r="F12" s="85" t="s">
        <v>200</v>
      </c>
      <c r="G12" s="87" t="s">
        <v>202</v>
      </c>
    </row>
    <row r="13" spans="1:14" ht="40.5">
      <c r="A13" s="81">
        <f t="shared" si="0"/>
        <v>7</v>
      </c>
      <c r="B13" s="82" t="s">
        <v>210</v>
      </c>
      <c r="C13" s="327"/>
      <c r="D13" s="123" t="s">
        <v>227</v>
      </c>
      <c r="E13" s="38"/>
      <c r="F13" s="85" t="s">
        <v>201</v>
      </c>
      <c r="G13" s="87" t="s">
        <v>290</v>
      </c>
    </row>
    <row r="14" spans="1:14" ht="30" customHeight="1">
      <c r="A14" s="81">
        <f t="shared" si="0"/>
        <v>8</v>
      </c>
      <c r="B14" s="82" t="s">
        <v>210</v>
      </c>
      <c r="C14" s="327"/>
      <c r="D14" s="88" t="s">
        <v>77</v>
      </c>
      <c r="E14" s="38"/>
      <c r="F14" s="83" t="s">
        <v>78</v>
      </c>
      <c r="G14" s="87" t="s">
        <v>205</v>
      </c>
    </row>
    <row r="15" spans="1:14" ht="30" customHeight="1">
      <c r="A15" s="81">
        <f t="shared" si="0"/>
        <v>9</v>
      </c>
      <c r="B15" s="82" t="s">
        <v>210</v>
      </c>
      <c r="C15" s="327"/>
      <c r="D15" s="88" t="s">
        <v>79</v>
      </c>
      <c r="E15" s="38"/>
      <c r="F15" s="83" t="s">
        <v>80</v>
      </c>
      <c r="G15" s="87" t="s">
        <v>204</v>
      </c>
    </row>
    <row r="16" spans="1:14" ht="30" customHeight="1">
      <c r="A16" s="81">
        <f t="shared" si="0"/>
        <v>10</v>
      </c>
      <c r="B16" s="82" t="s">
        <v>210</v>
      </c>
      <c r="C16" s="327"/>
      <c r="D16" s="88" t="s">
        <v>82</v>
      </c>
      <c r="E16" s="38"/>
      <c r="F16" s="83" t="s">
        <v>83</v>
      </c>
      <c r="G16" s="84" t="s">
        <v>84</v>
      </c>
    </row>
    <row r="17" spans="1:15" ht="30" customHeight="1">
      <c r="A17" s="81">
        <f t="shared" si="0"/>
        <v>11</v>
      </c>
      <c r="B17" s="82" t="s">
        <v>210</v>
      </c>
      <c r="C17" s="328"/>
      <c r="D17" s="88" t="s">
        <v>85</v>
      </c>
      <c r="E17" s="38"/>
      <c r="F17" s="83" t="s">
        <v>86</v>
      </c>
      <c r="G17" s="87" t="s">
        <v>203</v>
      </c>
    </row>
    <row r="18" spans="1:15" ht="30" customHeight="1">
      <c r="A18" s="81">
        <f t="shared" si="0"/>
        <v>12</v>
      </c>
      <c r="B18" s="82" t="s">
        <v>210</v>
      </c>
      <c r="C18" s="318" t="s">
        <v>102</v>
      </c>
      <c r="D18" s="88" t="s">
        <v>88</v>
      </c>
      <c r="E18" s="38"/>
      <c r="F18" s="83" t="s">
        <v>89</v>
      </c>
      <c r="G18" s="125" t="s">
        <v>81</v>
      </c>
    </row>
    <row r="19" spans="1:15" ht="30" customHeight="1">
      <c r="A19" s="81">
        <f t="shared" si="0"/>
        <v>13</v>
      </c>
      <c r="B19" s="82" t="s">
        <v>210</v>
      </c>
      <c r="C19" s="319"/>
      <c r="D19" s="88" t="s">
        <v>90</v>
      </c>
      <c r="E19" s="38"/>
      <c r="F19" s="126" t="s">
        <v>91</v>
      </c>
      <c r="G19" s="125" t="s">
        <v>81</v>
      </c>
    </row>
    <row r="20" spans="1:15" ht="30" customHeight="1">
      <c r="A20" s="81">
        <f t="shared" si="0"/>
        <v>14</v>
      </c>
      <c r="B20" s="82" t="s">
        <v>210</v>
      </c>
      <c r="C20" s="319"/>
      <c r="D20" s="88" t="s">
        <v>92</v>
      </c>
      <c r="E20" s="39"/>
      <c r="F20" s="127" t="s">
        <v>93</v>
      </c>
      <c r="G20" s="125" t="s">
        <v>81</v>
      </c>
    </row>
    <row r="21" spans="1:15" ht="30" customHeight="1">
      <c r="A21" s="81">
        <f t="shared" si="0"/>
        <v>15</v>
      </c>
      <c r="B21" s="82" t="s">
        <v>210</v>
      </c>
      <c r="C21" s="319"/>
      <c r="D21" s="88" t="s">
        <v>82</v>
      </c>
      <c r="E21" s="39"/>
      <c r="F21" s="83" t="s">
        <v>83</v>
      </c>
      <c r="G21" s="91" t="s">
        <v>84</v>
      </c>
    </row>
    <row r="22" spans="1:15" ht="30" customHeight="1">
      <c r="A22" s="81">
        <f t="shared" si="0"/>
        <v>16</v>
      </c>
      <c r="B22" s="82" t="s">
        <v>210</v>
      </c>
      <c r="C22" s="319"/>
      <c r="D22" s="88" t="s">
        <v>85</v>
      </c>
      <c r="E22" s="39"/>
      <c r="F22" s="83" t="s">
        <v>86</v>
      </c>
      <c r="G22" s="84" t="s">
        <v>87</v>
      </c>
    </row>
    <row r="23" spans="1:15" ht="30" customHeight="1">
      <c r="A23" s="81">
        <f t="shared" si="0"/>
        <v>17</v>
      </c>
      <c r="B23" s="82" t="s">
        <v>210</v>
      </c>
      <c r="C23" s="319"/>
      <c r="D23" s="88" t="s">
        <v>95</v>
      </c>
      <c r="E23" s="38"/>
      <c r="F23" s="85" t="s">
        <v>232</v>
      </c>
      <c r="G23" s="84" t="s">
        <v>94</v>
      </c>
    </row>
    <row r="24" spans="1:15" ht="30" customHeight="1">
      <c r="A24" s="81">
        <f t="shared" si="0"/>
        <v>18</v>
      </c>
      <c r="B24" s="82" t="s">
        <v>210</v>
      </c>
      <c r="C24" s="319"/>
      <c r="D24" s="88" t="s">
        <v>96</v>
      </c>
      <c r="E24" s="40"/>
      <c r="F24" s="128" t="s">
        <v>97</v>
      </c>
      <c r="G24" s="125" t="s">
        <v>81</v>
      </c>
    </row>
    <row r="25" spans="1:15" ht="30" customHeight="1">
      <c r="A25" s="81">
        <f t="shared" si="0"/>
        <v>19</v>
      </c>
      <c r="B25" s="82" t="s">
        <v>210</v>
      </c>
      <c r="C25" s="319" t="s">
        <v>99</v>
      </c>
      <c r="D25" s="323"/>
      <c r="E25" s="90"/>
      <c r="F25" s="129">
        <v>15000000</v>
      </c>
      <c r="G25" s="87" t="s">
        <v>305</v>
      </c>
    </row>
    <row r="26" spans="1:15" ht="30" customHeight="1">
      <c r="A26" s="81">
        <f t="shared" si="0"/>
        <v>20</v>
      </c>
      <c r="B26" s="82" t="s">
        <v>210</v>
      </c>
      <c r="C26" s="322" t="s">
        <v>228</v>
      </c>
      <c r="D26" s="323"/>
      <c r="E26" s="138"/>
      <c r="F26" s="130">
        <v>50</v>
      </c>
      <c r="G26" s="87" t="s">
        <v>229</v>
      </c>
    </row>
    <row r="27" spans="1:15" ht="40.5">
      <c r="A27" s="81">
        <f t="shared" si="0"/>
        <v>21</v>
      </c>
      <c r="B27" s="82" t="s">
        <v>210</v>
      </c>
      <c r="C27" s="322" t="s">
        <v>235</v>
      </c>
      <c r="D27" s="323"/>
      <c r="E27" s="38"/>
      <c r="F27" s="131" t="s">
        <v>240</v>
      </c>
      <c r="G27" s="87" t="s">
        <v>361</v>
      </c>
      <c r="L27" s="69"/>
      <c r="M27" s="69"/>
      <c r="N27" s="69"/>
      <c r="O27" s="69"/>
    </row>
    <row r="28" spans="1:15" ht="30" customHeight="1">
      <c r="A28" s="81">
        <f t="shared" si="0"/>
        <v>22</v>
      </c>
      <c r="B28" s="82" t="s">
        <v>210</v>
      </c>
      <c r="C28" s="322" t="s">
        <v>242</v>
      </c>
      <c r="D28" s="323"/>
      <c r="E28" s="38"/>
      <c r="F28" s="131" t="s">
        <v>241</v>
      </c>
      <c r="G28" s="87" t="s">
        <v>400</v>
      </c>
      <c r="L28" s="69"/>
      <c r="M28" s="69"/>
    </row>
    <row r="29" spans="1:15" ht="30" customHeight="1">
      <c r="A29" s="81">
        <f t="shared" si="0"/>
        <v>23</v>
      </c>
      <c r="B29" s="82" t="s">
        <v>210</v>
      </c>
      <c r="C29" s="322" t="s">
        <v>234</v>
      </c>
      <c r="D29" s="323"/>
      <c r="E29" s="90"/>
      <c r="F29" s="129">
        <v>10000000000</v>
      </c>
      <c r="G29" s="87" t="s">
        <v>306</v>
      </c>
    </row>
    <row r="30" spans="1:15" ht="30" customHeight="1">
      <c r="A30" s="81">
        <f t="shared" si="0"/>
        <v>24</v>
      </c>
      <c r="B30" s="82" t="s">
        <v>210</v>
      </c>
      <c r="C30" s="318" t="s">
        <v>294</v>
      </c>
      <c r="D30" s="123" t="s">
        <v>295</v>
      </c>
      <c r="E30" s="136"/>
      <c r="F30" s="137">
        <v>36617</v>
      </c>
      <c r="G30" s="87" t="s">
        <v>392</v>
      </c>
    </row>
    <row r="31" spans="1:15" ht="30" customHeight="1">
      <c r="A31" s="81">
        <f t="shared" si="0"/>
        <v>25</v>
      </c>
      <c r="B31" s="82" t="s">
        <v>210</v>
      </c>
      <c r="C31" s="319"/>
      <c r="D31" s="123" t="s">
        <v>296</v>
      </c>
      <c r="E31" s="136"/>
      <c r="F31" s="137">
        <v>36617</v>
      </c>
      <c r="G31" s="87" t="s">
        <v>392</v>
      </c>
    </row>
    <row r="32" spans="1:15" ht="30" customHeight="1">
      <c r="A32" s="81">
        <f t="shared" si="0"/>
        <v>26</v>
      </c>
      <c r="B32" s="82" t="s">
        <v>210</v>
      </c>
      <c r="C32" s="319"/>
      <c r="D32" s="123" t="s">
        <v>297</v>
      </c>
      <c r="E32" s="136"/>
      <c r="F32" s="137">
        <v>36617</v>
      </c>
      <c r="G32" s="87" t="s">
        <v>392</v>
      </c>
    </row>
    <row r="33" spans="1:14" ht="30" customHeight="1">
      <c r="A33" s="81">
        <f t="shared" si="0"/>
        <v>27</v>
      </c>
      <c r="B33" s="82" t="s">
        <v>210</v>
      </c>
      <c r="C33" s="319"/>
      <c r="D33" s="123" t="s">
        <v>298</v>
      </c>
      <c r="E33" s="136"/>
      <c r="F33" s="137">
        <v>36617</v>
      </c>
      <c r="G33" s="87" t="s">
        <v>392</v>
      </c>
    </row>
    <row r="34" spans="1:14" ht="30" customHeight="1">
      <c r="A34" s="81">
        <f t="shared" si="0"/>
        <v>28</v>
      </c>
      <c r="B34" s="82" t="s">
        <v>210</v>
      </c>
      <c r="C34" s="318" t="s">
        <v>391</v>
      </c>
      <c r="D34" s="123" t="s">
        <v>299</v>
      </c>
      <c r="E34" s="136"/>
      <c r="F34" s="137">
        <v>36617</v>
      </c>
      <c r="G34" s="87" t="s">
        <v>392</v>
      </c>
    </row>
    <row r="35" spans="1:14" ht="30" customHeight="1">
      <c r="A35" s="81">
        <f t="shared" si="0"/>
        <v>29</v>
      </c>
      <c r="B35" s="82" t="s">
        <v>210</v>
      </c>
      <c r="C35" s="319"/>
      <c r="D35" s="123" t="s">
        <v>300</v>
      </c>
      <c r="E35" s="136"/>
      <c r="F35" s="137">
        <v>36617</v>
      </c>
      <c r="G35" s="87" t="s">
        <v>392</v>
      </c>
    </row>
    <row r="36" spans="1:14" ht="30" customHeight="1">
      <c r="A36" s="81">
        <f t="shared" si="0"/>
        <v>30</v>
      </c>
      <c r="B36" s="82" t="s">
        <v>210</v>
      </c>
      <c r="C36" s="319"/>
      <c r="D36" s="123" t="s">
        <v>301</v>
      </c>
      <c r="E36" s="136"/>
      <c r="F36" s="137">
        <v>36617</v>
      </c>
      <c r="G36" s="87" t="s">
        <v>392</v>
      </c>
    </row>
    <row r="37" spans="1:14" ht="30" customHeight="1">
      <c r="A37" s="81">
        <f t="shared" si="0"/>
        <v>31</v>
      </c>
      <c r="B37" s="82" t="s">
        <v>210</v>
      </c>
      <c r="C37" s="322" t="s">
        <v>302</v>
      </c>
      <c r="D37" s="323"/>
      <c r="E37" s="136"/>
      <c r="F37" s="137">
        <v>36617</v>
      </c>
      <c r="G37" s="87" t="s">
        <v>392</v>
      </c>
    </row>
    <row r="38" spans="1:14" ht="30" customHeight="1">
      <c r="A38" s="81">
        <f t="shared" si="0"/>
        <v>32</v>
      </c>
      <c r="B38" s="82" t="s">
        <v>210</v>
      </c>
      <c r="C38" s="322" t="s">
        <v>303</v>
      </c>
      <c r="D38" s="323"/>
      <c r="E38" s="138"/>
      <c r="F38" s="130">
        <v>2</v>
      </c>
      <c r="G38" s="87" t="s">
        <v>398</v>
      </c>
    </row>
    <row r="39" spans="1:14" ht="30" customHeight="1">
      <c r="A39" s="81">
        <f t="shared" si="0"/>
        <v>33</v>
      </c>
      <c r="B39" s="82" t="s">
        <v>210</v>
      </c>
      <c r="C39" s="322" t="s">
        <v>304</v>
      </c>
      <c r="D39" s="323"/>
      <c r="E39" s="138"/>
      <c r="F39" s="130">
        <v>2</v>
      </c>
      <c r="G39" s="87" t="s">
        <v>399</v>
      </c>
    </row>
    <row r="40" spans="1:14" ht="30" customHeight="1">
      <c r="A40" s="81">
        <f t="shared" si="0"/>
        <v>34</v>
      </c>
      <c r="B40" s="82" t="s">
        <v>210</v>
      </c>
      <c r="C40" s="322" t="s">
        <v>292</v>
      </c>
      <c r="D40" s="323"/>
      <c r="E40" s="38"/>
      <c r="F40" s="131" t="s">
        <v>231</v>
      </c>
      <c r="G40" s="84"/>
    </row>
    <row r="41" spans="1:14" ht="30" customHeight="1">
      <c r="A41" s="70">
        <f t="shared" si="0"/>
        <v>35</v>
      </c>
      <c r="B41" s="71" t="s">
        <v>100</v>
      </c>
      <c r="C41" s="321" t="s">
        <v>213</v>
      </c>
      <c r="D41" s="324"/>
      <c r="E41" s="38" t="s">
        <v>214</v>
      </c>
      <c r="F41" s="78" t="s">
        <v>217</v>
      </c>
      <c r="G41" s="73" t="s">
        <v>402</v>
      </c>
      <c r="L41" s="69"/>
      <c r="M41" s="69"/>
      <c r="N41" s="69"/>
    </row>
    <row r="42" spans="1:14" ht="30" customHeight="1">
      <c r="A42" s="70">
        <f t="shared" si="0"/>
        <v>36</v>
      </c>
      <c r="B42" s="71" t="s">
        <v>100</v>
      </c>
      <c r="C42" s="321" t="s">
        <v>74</v>
      </c>
      <c r="D42" s="74" t="s">
        <v>125</v>
      </c>
      <c r="E42" s="38"/>
      <c r="F42" s="72" t="s">
        <v>75</v>
      </c>
      <c r="G42" s="73" t="s">
        <v>76</v>
      </c>
    </row>
    <row r="43" spans="1:14" ht="30" customHeight="1">
      <c r="A43" s="70">
        <f t="shared" si="0"/>
        <v>37</v>
      </c>
      <c r="B43" s="71" t="s">
        <v>100</v>
      </c>
      <c r="C43" s="321"/>
      <c r="D43" s="75" t="s">
        <v>198</v>
      </c>
      <c r="E43" s="40"/>
      <c r="F43" s="72" t="s">
        <v>199</v>
      </c>
      <c r="G43" s="73" t="s">
        <v>202</v>
      </c>
    </row>
    <row r="44" spans="1:14" ht="40.5">
      <c r="A44" s="70">
        <f t="shared" si="0"/>
        <v>38</v>
      </c>
      <c r="B44" s="71" t="s">
        <v>100</v>
      </c>
      <c r="C44" s="321"/>
      <c r="D44" s="75" t="s">
        <v>227</v>
      </c>
      <c r="E44" s="38"/>
      <c r="F44" s="72" t="s">
        <v>201</v>
      </c>
      <c r="G44" s="73" t="s">
        <v>290</v>
      </c>
    </row>
    <row r="45" spans="1:14" ht="30" customHeight="1">
      <c r="A45" s="70">
        <f t="shared" si="0"/>
        <v>39</v>
      </c>
      <c r="B45" s="71" t="s">
        <v>100</v>
      </c>
      <c r="C45" s="321"/>
      <c r="D45" s="75" t="s">
        <v>77</v>
      </c>
      <c r="E45" s="38"/>
      <c r="F45" s="72" t="s">
        <v>78</v>
      </c>
      <c r="G45" s="73" t="s">
        <v>205</v>
      </c>
    </row>
    <row r="46" spans="1:14" ht="30" customHeight="1">
      <c r="A46" s="70">
        <f t="shared" si="0"/>
        <v>40</v>
      </c>
      <c r="B46" s="71" t="s">
        <v>100</v>
      </c>
      <c r="C46" s="321"/>
      <c r="D46" s="75" t="s">
        <v>79</v>
      </c>
      <c r="E46" s="38"/>
      <c r="F46" s="72" t="s">
        <v>80</v>
      </c>
      <c r="G46" s="73" t="s">
        <v>204</v>
      </c>
    </row>
    <row r="47" spans="1:14" ht="30" customHeight="1">
      <c r="A47" s="70">
        <f t="shared" si="0"/>
        <v>41</v>
      </c>
      <c r="B47" s="71" t="s">
        <v>100</v>
      </c>
      <c r="C47" s="321"/>
      <c r="D47" s="75" t="s">
        <v>82</v>
      </c>
      <c r="E47" s="38"/>
      <c r="F47" s="72" t="s">
        <v>207</v>
      </c>
      <c r="G47" s="73" t="s">
        <v>84</v>
      </c>
    </row>
    <row r="48" spans="1:14" ht="30" customHeight="1">
      <c r="A48" s="70">
        <f t="shared" si="0"/>
        <v>42</v>
      </c>
      <c r="B48" s="71" t="s">
        <v>100</v>
      </c>
      <c r="C48" s="321"/>
      <c r="D48" s="75" t="s">
        <v>85</v>
      </c>
      <c r="E48" s="38"/>
      <c r="F48" s="72" t="s">
        <v>86</v>
      </c>
      <c r="G48" s="73" t="s">
        <v>203</v>
      </c>
    </row>
    <row r="49" spans="1:7" ht="30" customHeight="1">
      <c r="A49" s="70">
        <f t="shared" si="0"/>
        <v>43</v>
      </c>
      <c r="B49" s="71" t="s">
        <v>100</v>
      </c>
      <c r="C49" s="320" t="s">
        <v>102</v>
      </c>
      <c r="D49" s="75" t="s">
        <v>88</v>
      </c>
      <c r="E49" s="38"/>
      <c r="F49" s="72" t="s">
        <v>89</v>
      </c>
      <c r="G49" s="76" t="s">
        <v>206</v>
      </c>
    </row>
    <row r="50" spans="1:7" ht="30" customHeight="1">
      <c r="A50" s="70">
        <f t="shared" si="0"/>
        <v>44</v>
      </c>
      <c r="B50" s="71" t="s">
        <v>100</v>
      </c>
      <c r="C50" s="321"/>
      <c r="D50" s="75" t="s">
        <v>98</v>
      </c>
      <c r="E50" s="38"/>
      <c r="F50" s="77" t="s">
        <v>91</v>
      </c>
      <c r="G50" s="76" t="s">
        <v>206</v>
      </c>
    </row>
    <row r="51" spans="1:7" ht="30" customHeight="1">
      <c r="A51" s="70">
        <f t="shared" si="0"/>
        <v>45</v>
      </c>
      <c r="B51" s="71" t="s">
        <v>100</v>
      </c>
      <c r="C51" s="321"/>
      <c r="D51" s="75" t="s">
        <v>92</v>
      </c>
      <c r="E51" s="39"/>
      <c r="F51" s="78" t="s">
        <v>208</v>
      </c>
      <c r="G51" s="76" t="s">
        <v>206</v>
      </c>
    </row>
    <row r="52" spans="1:7" ht="30" customHeight="1">
      <c r="A52" s="70">
        <f t="shared" si="0"/>
        <v>46</v>
      </c>
      <c r="B52" s="71" t="s">
        <v>100</v>
      </c>
      <c r="C52" s="321"/>
      <c r="D52" s="75" t="s">
        <v>82</v>
      </c>
      <c r="E52" s="39"/>
      <c r="F52" s="72" t="s">
        <v>207</v>
      </c>
      <c r="G52" s="73" t="s">
        <v>84</v>
      </c>
    </row>
    <row r="53" spans="1:7" ht="30" customHeight="1">
      <c r="A53" s="70">
        <f t="shared" si="0"/>
        <v>47</v>
      </c>
      <c r="B53" s="71" t="s">
        <v>100</v>
      </c>
      <c r="C53" s="321"/>
      <c r="D53" s="75" t="s">
        <v>85</v>
      </c>
      <c r="E53" s="39"/>
      <c r="F53" s="72" t="s">
        <v>86</v>
      </c>
      <c r="G53" s="73" t="s">
        <v>87</v>
      </c>
    </row>
    <row r="54" spans="1:7" ht="30" customHeight="1">
      <c r="A54" s="70">
        <f t="shared" si="0"/>
        <v>48</v>
      </c>
      <c r="B54" s="71" t="s">
        <v>100</v>
      </c>
      <c r="C54" s="321"/>
      <c r="D54" s="75" t="s">
        <v>95</v>
      </c>
      <c r="E54" s="38"/>
      <c r="F54" s="72" t="s">
        <v>233</v>
      </c>
      <c r="G54" s="73" t="s">
        <v>94</v>
      </c>
    </row>
    <row r="55" spans="1:7" ht="30" customHeight="1">
      <c r="A55" s="70">
        <f t="shared" si="0"/>
        <v>49</v>
      </c>
      <c r="B55" s="71" t="s">
        <v>100</v>
      </c>
      <c r="C55" s="321"/>
      <c r="D55" s="75" t="s">
        <v>96</v>
      </c>
      <c r="E55" s="40"/>
      <c r="F55" s="79" t="s">
        <v>209</v>
      </c>
      <c r="G55" s="76" t="s">
        <v>206</v>
      </c>
    </row>
    <row r="56" spans="1:7" ht="30" customHeight="1">
      <c r="A56" s="70">
        <f t="shared" si="0"/>
        <v>50</v>
      </c>
      <c r="B56" s="71" t="s">
        <v>100</v>
      </c>
      <c r="C56" s="321" t="s">
        <v>99</v>
      </c>
      <c r="D56" s="324"/>
      <c r="E56" s="90"/>
      <c r="F56" s="78">
        <v>15000000</v>
      </c>
      <c r="G56" s="73" t="s">
        <v>305</v>
      </c>
    </row>
    <row r="57" spans="1:7" ht="30" customHeight="1">
      <c r="A57" s="70">
        <f t="shared" si="0"/>
        <v>51</v>
      </c>
      <c r="B57" s="71" t="s">
        <v>100</v>
      </c>
      <c r="C57" s="325" t="s">
        <v>228</v>
      </c>
      <c r="D57" s="324"/>
      <c r="E57" s="138"/>
      <c r="F57" s="80">
        <v>50</v>
      </c>
      <c r="G57" s="73" t="s">
        <v>229</v>
      </c>
    </row>
    <row r="58" spans="1:7" ht="40.5">
      <c r="A58" s="70">
        <f t="shared" si="0"/>
        <v>52</v>
      </c>
      <c r="B58" s="71" t="s">
        <v>100</v>
      </c>
      <c r="C58" s="321" t="s">
        <v>235</v>
      </c>
      <c r="D58" s="324"/>
      <c r="E58" s="38"/>
      <c r="F58" s="114" t="s">
        <v>240</v>
      </c>
      <c r="G58" s="73" t="s">
        <v>361</v>
      </c>
    </row>
    <row r="59" spans="1:7" ht="30" customHeight="1">
      <c r="A59" s="70">
        <f t="shared" si="0"/>
        <v>53</v>
      </c>
      <c r="B59" s="71" t="s">
        <v>100</v>
      </c>
      <c r="C59" s="321" t="s">
        <v>242</v>
      </c>
      <c r="D59" s="324"/>
      <c r="E59" s="38"/>
      <c r="F59" s="114" t="s">
        <v>241</v>
      </c>
      <c r="G59" s="73" t="s">
        <v>400</v>
      </c>
    </row>
    <row r="60" spans="1:7" ht="30" customHeight="1">
      <c r="A60" s="70">
        <f t="shared" si="0"/>
        <v>54</v>
      </c>
      <c r="B60" s="71" t="s">
        <v>100</v>
      </c>
      <c r="C60" s="321" t="s">
        <v>234</v>
      </c>
      <c r="D60" s="324"/>
      <c r="E60" s="90"/>
      <c r="F60" s="89">
        <v>10000000000</v>
      </c>
      <c r="G60" s="73" t="s">
        <v>306</v>
      </c>
    </row>
    <row r="61" spans="1:7" ht="30" customHeight="1">
      <c r="A61" s="70">
        <f t="shared" si="0"/>
        <v>55</v>
      </c>
      <c r="B61" s="71" t="s">
        <v>100</v>
      </c>
      <c r="C61" s="320" t="s">
        <v>294</v>
      </c>
      <c r="D61" s="74" t="s">
        <v>295</v>
      </c>
      <c r="E61" s="136"/>
      <c r="F61" s="139">
        <v>36617</v>
      </c>
      <c r="G61" s="86" t="s">
        <v>392</v>
      </c>
    </row>
    <row r="62" spans="1:7" ht="30" customHeight="1">
      <c r="A62" s="70">
        <f t="shared" si="0"/>
        <v>56</v>
      </c>
      <c r="B62" s="71" t="s">
        <v>100</v>
      </c>
      <c r="C62" s="321"/>
      <c r="D62" s="74" t="s">
        <v>296</v>
      </c>
      <c r="E62" s="136"/>
      <c r="F62" s="139">
        <v>36617</v>
      </c>
      <c r="G62" s="86" t="s">
        <v>392</v>
      </c>
    </row>
    <row r="63" spans="1:7" ht="30" customHeight="1">
      <c r="A63" s="70">
        <f t="shared" si="0"/>
        <v>57</v>
      </c>
      <c r="B63" s="71" t="s">
        <v>100</v>
      </c>
      <c r="C63" s="321"/>
      <c r="D63" s="74" t="s">
        <v>297</v>
      </c>
      <c r="E63" s="136"/>
      <c r="F63" s="139">
        <v>36617</v>
      </c>
      <c r="G63" s="86" t="s">
        <v>392</v>
      </c>
    </row>
    <row r="64" spans="1:7" ht="30" customHeight="1">
      <c r="A64" s="70">
        <f t="shared" si="0"/>
        <v>58</v>
      </c>
      <c r="B64" s="71" t="s">
        <v>100</v>
      </c>
      <c r="C64" s="321"/>
      <c r="D64" s="74" t="s">
        <v>298</v>
      </c>
      <c r="E64" s="136"/>
      <c r="F64" s="139">
        <v>36617</v>
      </c>
      <c r="G64" s="86" t="s">
        <v>392</v>
      </c>
    </row>
    <row r="65" spans="1:14" ht="30" customHeight="1">
      <c r="A65" s="70">
        <f t="shared" si="0"/>
        <v>59</v>
      </c>
      <c r="B65" s="71" t="s">
        <v>100</v>
      </c>
      <c r="C65" s="320" t="s">
        <v>391</v>
      </c>
      <c r="D65" s="74" t="s">
        <v>299</v>
      </c>
      <c r="E65" s="136"/>
      <c r="F65" s="139">
        <v>36617</v>
      </c>
      <c r="G65" s="86" t="s">
        <v>392</v>
      </c>
    </row>
    <row r="66" spans="1:14" ht="30" customHeight="1">
      <c r="A66" s="70">
        <f t="shared" si="0"/>
        <v>60</v>
      </c>
      <c r="B66" s="71" t="s">
        <v>100</v>
      </c>
      <c r="C66" s="321"/>
      <c r="D66" s="74" t="s">
        <v>300</v>
      </c>
      <c r="E66" s="136"/>
      <c r="F66" s="139">
        <v>36617</v>
      </c>
      <c r="G66" s="86" t="s">
        <v>392</v>
      </c>
    </row>
    <row r="67" spans="1:14" ht="30" customHeight="1">
      <c r="A67" s="70">
        <f t="shared" si="0"/>
        <v>61</v>
      </c>
      <c r="B67" s="71" t="s">
        <v>100</v>
      </c>
      <c r="C67" s="321"/>
      <c r="D67" s="74" t="s">
        <v>301</v>
      </c>
      <c r="E67" s="136"/>
      <c r="F67" s="139">
        <v>36617</v>
      </c>
      <c r="G67" s="86" t="s">
        <v>392</v>
      </c>
    </row>
    <row r="68" spans="1:14" ht="30" customHeight="1">
      <c r="A68" s="70">
        <f t="shared" si="0"/>
        <v>62</v>
      </c>
      <c r="B68" s="71" t="s">
        <v>100</v>
      </c>
      <c r="C68" s="325" t="s">
        <v>302</v>
      </c>
      <c r="D68" s="324"/>
      <c r="E68" s="136"/>
      <c r="F68" s="139">
        <v>36617</v>
      </c>
      <c r="G68" s="86" t="s">
        <v>392</v>
      </c>
    </row>
    <row r="69" spans="1:14" ht="30" customHeight="1">
      <c r="A69" s="70">
        <f t="shared" si="0"/>
        <v>63</v>
      </c>
      <c r="B69" s="71" t="s">
        <v>100</v>
      </c>
      <c r="C69" s="325" t="s">
        <v>303</v>
      </c>
      <c r="D69" s="324"/>
      <c r="E69" s="138"/>
      <c r="F69" s="80">
        <v>2</v>
      </c>
      <c r="G69" s="86" t="s">
        <v>398</v>
      </c>
    </row>
    <row r="70" spans="1:14" ht="30" customHeight="1">
      <c r="A70" s="70">
        <f t="shared" si="0"/>
        <v>64</v>
      </c>
      <c r="B70" s="71" t="s">
        <v>100</v>
      </c>
      <c r="C70" s="325" t="s">
        <v>304</v>
      </c>
      <c r="D70" s="324"/>
      <c r="E70" s="138"/>
      <c r="F70" s="80">
        <v>2</v>
      </c>
      <c r="G70" s="86" t="s">
        <v>399</v>
      </c>
    </row>
    <row r="71" spans="1:14" ht="30" customHeight="1">
      <c r="A71" s="70">
        <f t="shared" si="0"/>
        <v>65</v>
      </c>
      <c r="B71" s="71" t="s">
        <v>100</v>
      </c>
      <c r="C71" s="325" t="s">
        <v>292</v>
      </c>
      <c r="D71" s="324"/>
      <c r="E71" s="38"/>
      <c r="F71" s="114" t="s">
        <v>230</v>
      </c>
      <c r="G71" s="73"/>
    </row>
    <row r="72" spans="1:14" ht="30" customHeight="1">
      <c r="A72" s="170">
        <f t="shared" si="0"/>
        <v>66</v>
      </c>
      <c r="B72" s="186" t="s">
        <v>307</v>
      </c>
      <c r="C72" s="329" t="s">
        <v>213</v>
      </c>
      <c r="D72" s="330"/>
      <c r="E72" s="38" t="s">
        <v>214</v>
      </c>
      <c r="F72" s="178" t="s">
        <v>217</v>
      </c>
      <c r="G72" s="175" t="s">
        <v>402</v>
      </c>
      <c r="L72" s="69"/>
      <c r="M72" s="69"/>
      <c r="N72" s="69"/>
    </row>
    <row r="73" spans="1:14" ht="30" customHeight="1">
      <c r="A73" s="170">
        <f t="shared" ref="A73:A136" si="1">ROW()-6</f>
        <v>67</v>
      </c>
      <c r="B73" s="171" t="s">
        <v>307</v>
      </c>
      <c r="C73" s="329" t="s">
        <v>74</v>
      </c>
      <c r="D73" s="172" t="s">
        <v>125</v>
      </c>
      <c r="E73" s="38"/>
      <c r="F73" s="174" t="s">
        <v>75</v>
      </c>
      <c r="G73" s="175" t="s">
        <v>76</v>
      </c>
    </row>
    <row r="74" spans="1:14" ht="30" customHeight="1">
      <c r="A74" s="170">
        <f t="shared" si="1"/>
        <v>68</v>
      </c>
      <c r="B74" s="171" t="s">
        <v>307</v>
      </c>
      <c r="C74" s="329"/>
      <c r="D74" s="173" t="s">
        <v>198</v>
      </c>
      <c r="E74" s="40"/>
      <c r="F74" s="174" t="s">
        <v>199</v>
      </c>
      <c r="G74" s="175" t="s">
        <v>202</v>
      </c>
    </row>
    <row r="75" spans="1:14" ht="40.5">
      <c r="A75" s="170">
        <f t="shared" si="1"/>
        <v>69</v>
      </c>
      <c r="B75" s="171" t="s">
        <v>307</v>
      </c>
      <c r="C75" s="329"/>
      <c r="D75" s="173" t="s">
        <v>227</v>
      </c>
      <c r="E75" s="38"/>
      <c r="F75" s="174" t="s">
        <v>201</v>
      </c>
      <c r="G75" s="175" t="s">
        <v>290</v>
      </c>
    </row>
    <row r="76" spans="1:14" ht="30" customHeight="1">
      <c r="A76" s="170">
        <f t="shared" si="1"/>
        <v>70</v>
      </c>
      <c r="B76" s="171" t="s">
        <v>307</v>
      </c>
      <c r="C76" s="329"/>
      <c r="D76" s="173" t="s">
        <v>77</v>
      </c>
      <c r="E76" s="38"/>
      <c r="F76" s="174" t="s">
        <v>78</v>
      </c>
      <c r="G76" s="175" t="s">
        <v>205</v>
      </c>
    </row>
    <row r="77" spans="1:14" ht="30" customHeight="1">
      <c r="A77" s="170">
        <f t="shared" si="1"/>
        <v>71</v>
      </c>
      <c r="B77" s="171" t="s">
        <v>307</v>
      </c>
      <c r="C77" s="329"/>
      <c r="D77" s="173" t="s">
        <v>79</v>
      </c>
      <c r="E77" s="38"/>
      <c r="F77" s="174" t="s">
        <v>80</v>
      </c>
      <c r="G77" s="175" t="s">
        <v>204</v>
      </c>
    </row>
    <row r="78" spans="1:14" ht="30" customHeight="1">
      <c r="A78" s="170">
        <f t="shared" si="1"/>
        <v>72</v>
      </c>
      <c r="B78" s="171" t="s">
        <v>307</v>
      </c>
      <c r="C78" s="329"/>
      <c r="D78" s="173" t="s">
        <v>82</v>
      </c>
      <c r="E78" s="38"/>
      <c r="F78" s="174" t="s">
        <v>207</v>
      </c>
      <c r="G78" s="175" t="s">
        <v>84</v>
      </c>
    </row>
    <row r="79" spans="1:14" ht="30" customHeight="1">
      <c r="A79" s="170">
        <f t="shared" si="1"/>
        <v>73</v>
      </c>
      <c r="B79" s="171" t="s">
        <v>307</v>
      </c>
      <c r="C79" s="329"/>
      <c r="D79" s="173" t="s">
        <v>85</v>
      </c>
      <c r="E79" s="38"/>
      <c r="F79" s="174" t="s">
        <v>86</v>
      </c>
      <c r="G79" s="175" t="s">
        <v>203</v>
      </c>
    </row>
    <row r="80" spans="1:14" ht="30" customHeight="1">
      <c r="A80" s="170">
        <f t="shared" si="1"/>
        <v>74</v>
      </c>
      <c r="B80" s="171" t="s">
        <v>307</v>
      </c>
      <c r="C80" s="331" t="s">
        <v>102</v>
      </c>
      <c r="D80" s="173" t="s">
        <v>88</v>
      </c>
      <c r="E80" s="38"/>
      <c r="F80" s="174" t="s">
        <v>89</v>
      </c>
      <c r="G80" s="176" t="s">
        <v>206</v>
      </c>
    </row>
    <row r="81" spans="1:7" ht="30" customHeight="1">
      <c r="A81" s="170">
        <f t="shared" si="1"/>
        <v>75</v>
      </c>
      <c r="B81" s="171" t="s">
        <v>307</v>
      </c>
      <c r="C81" s="329"/>
      <c r="D81" s="173" t="s">
        <v>98</v>
      </c>
      <c r="E81" s="38"/>
      <c r="F81" s="177" t="s">
        <v>91</v>
      </c>
      <c r="G81" s="176" t="s">
        <v>206</v>
      </c>
    </row>
    <row r="82" spans="1:7" ht="30" customHeight="1">
      <c r="A82" s="170">
        <f t="shared" si="1"/>
        <v>76</v>
      </c>
      <c r="B82" s="171" t="s">
        <v>307</v>
      </c>
      <c r="C82" s="329"/>
      <c r="D82" s="173" t="s">
        <v>92</v>
      </c>
      <c r="E82" s="39"/>
      <c r="F82" s="178" t="s">
        <v>208</v>
      </c>
      <c r="G82" s="176" t="s">
        <v>206</v>
      </c>
    </row>
    <row r="83" spans="1:7" ht="30" customHeight="1">
      <c r="A83" s="170">
        <f t="shared" si="1"/>
        <v>77</v>
      </c>
      <c r="B83" s="171" t="s">
        <v>307</v>
      </c>
      <c r="C83" s="329"/>
      <c r="D83" s="173" t="s">
        <v>82</v>
      </c>
      <c r="E83" s="39"/>
      <c r="F83" s="174" t="s">
        <v>207</v>
      </c>
      <c r="G83" s="175" t="s">
        <v>84</v>
      </c>
    </row>
    <row r="84" spans="1:7" ht="30" customHeight="1">
      <c r="A84" s="170">
        <f t="shared" si="1"/>
        <v>78</v>
      </c>
      <c r="B84" s="171" t="s">
        <v>307</v>
      </c>
      <c r="C84" s="329"/>
      <c r="D84" s="173" t="s">
        <v>85</v>
      </c>
      <c r="E84" s="39"/>
      <c r="F84" s="174" t="s">
        <v>86</v>
      </c>
      <c r="G84" s="175" t="s">
        <v>87</v>
      </c>
    </row>
    <row r="85" spans="1:7" ht="30" customHeight="1">
      <c r="A85" s="170">
        <f t="shared" si="1"/>
        <v>79</v>
      </c>
      <c r="B85" s="171" t="s">
        <v>307</v>
      </c>
      <c r="C85" s="329"/>
      <c r="D85" s="173" t="s">
        <v>95</v>
      </c>
      <c r="E85" s="38"/>
      <c r="F85" s="174" t="s">
        <v>233</v>
      </c>
      <c r="G85" s="175" t="s">
        <v>94</v>
      </c>
    </row>
    <row r="86" spans="1:7" ht="30" customHeight="1">
      <c r="A86" s="170">
        <f t="shared" si="1"/>
        <v>80</v>
      </c>
      <c r="B86" s="171" t="s">
        <v>307</v>
      </c>
      <c r="C86" s="329"/>
      <c r="D86" s="173" t="s">
        <v>96</v>
      </c>
      <c r="E86" s="40"/>
      <c r="F86" s="179" t="s">
        <v>209</v>
      </c>
      <c r="G86" s="176" t="s">
        <v>206</v>
      </c>
    </row>
    <row r="87" spans="1:7" ht="30" customHeight="1">
      <c r="A87" s="170">
        <f t="shared" si="1"/>
        <v>81</v>
      </c>
      <c r="B87" s="171" t="s">
        <v>307</v>
      </c>
      <c r="C87" s="329" t="s">
        <v>99</v>
      </c>
      <c r="D87" s="330"/>
      <c r="E87" s="90"/>
      <c r="F87" s="178">
        <v>15000000</v>
      </c>
      <c r="G87" s="175" t="s">
        <v>305</v>
      </c>
    </row>
    <row r="88" spans="1:7" ht="30" customHeight="1">
      <c r="A88" s="170">
        <f t="shared" si="1"/>
        <v>82</v>
      </c>
      <c r="B88" s="171" t="s">
        <v>307</v>
      </c>
      <c r="C88" s="332" t="s">
        <v>228</v>
      </c>
      <c r="D88" s="330"/>
      <c r="E88" s="138"/>
      <c r="F88" s="180">
        <v>50</v>
      </c>
      <c r="G88" s="175" t="s">
        <v>229</v>
      </c>
    </row>
    <row r="89" spans="1:7" ht="40.5">
      <c r="A89" s="170">
        <f t="shared" si="1"/>
        <v>83</v>
      </c>
      <c r="B89" s="171" t="s">
        <v>307</v>
      </c>
      <c r="C89" s="329" t="s">
        <v>235</v>
      </c>
      <c r="D89" s="330"/>
      <c r="E89" s="38"/>
      <c r="F89" s="181" t="s">
        <v>240</v>
      </c>
      <c r="G89" s="175" t="s">
        <v>361</v>
      </c>
    </row>
    <row r="90" spans="1:7" ht="30" customHeight="1">
      <c r="A90" s="170">
        <f t="shared" si="1"/>
        <v>84</v>
      </c>
      <c r="B90" s="171" t="s">
        <v>307</v>
      </c>
      <c r="C90" s="329" t="s">
        <v>242</v>
      </c>
      <c r="D90" s="330"/>
      <c r="E90" s="38"/>
      <c r="F90" s="181" t="s">
        <v>241</v>
      </c>
      <c r="G90" s="175" t="s">
        <v>400</v>
      </c>
    </row>
    <row r="91" spans="1:7" ht="30" customHeight="1">
      <c r="A91" s="170">
        <f t="shared" si="1"/>
        <v>85</v>
      </c>
      <c r="B91" s="171" t="s">
        <v>307</v>
      </c>
      <c r="C91" s="329" t="s">
        <v>234</v>
      </c>
      <c r="D91" s="330"/>
      <c r="E91" s="90"/>
      <c r="F91" s="182">
        <v>10000000000</v>
      </c>
      <c r="G91" s="175" t="s">
        <v>306</v>
      </c>
    </row>
    <row r="92" spans="1:7" ht="30" customHeight="1">
      <c r="A92" s="170">
        <f t="shared" si="1"/>
        <v>86</v>
      </c>
      <c r="B92" s="171" t="s">
        <v>307</v>
      </c>
      <c r="C92" s="331" t="s">
        <v>294</v>
      </c>
      <c r="D92" s="172" t="s">
        <v>295</v>
      </c>
      <c r="E92" s="136"/>
      <c r="F92" s="183">
        <v>36617</v>
      </c>
      <c r="G92" s="184" t="s">
        <v>392</v>
      </c>
    </row>
    <row r="93" spans="1:7" ht="30" customHeight="1">
      <c r="A93" s="170">
        <f t="shared" si="1"/>
        <v>87</v>
      </c>
      <c r="B93" s="171" t="s">
        <v>307</v>
      </c>
      <c r="C93" s="329"/>
      <c r="D93" s="172" t="s">
        <v>296</v>
      </c>
      <c r="E93" s="136"/>
      <c r="F93" s="183">
        <v>36617</v>
      </c>
      <c r="G93" s="184" t="s">
        <v>392</v>
      </c>
    </row>
    <row r="94" spans="1:7" ht="30" customHeight="1">
      <c r="A94" s="170">
        <f t="shared" si="1"/>
        <v>88</v>
      </c>
      <c r="B94" s="171" t="s">
        <v>307</v>
      </c>
      <c r="C94" s="329"/>
      <c r="D94" s="172" t="s">
        <v>297</v>
      </c>
      <c r="E94" s="136"/>
      <c r="F94" s="183">
        <v>36617</v>
      </c>
      <c r="G94" s="184" t="s">
        <v>392</v>
      </c>
    </row>
    <row r="95" spans="1:7" ht="30" customHeight="1">
      <c r="A95" s="170">
        <f t="shared" si="1"/>
        <v>89</v>
      </c>
      <c r="B95" s="171" t="s">
        <v>307</v>
      </c>
      <c r="C95" s="329"/>
      <c r="D95" s="172" t="s">
        <v>298</v>
      </c>
      <c r="E95" s="136"/>
      <c r="F95" s="183">
        <v>36617</v>
      </c>
      <c r="G95" s="184" t="s">
        <v>392</v>
      </c>
    </row>
    <row r="96" spans="1:7" ht="30" customHeight="1">
      <c r="A96" s="170">
        <f t="shared" si="1"/>
        <v>90</v>
      </c>
      <c r="B96" s="171" t="s">
        <v>307</v>
      </c>
      <c r="C96" s="331" t="s">
        <v>391</v>
      </c>
      <c r="D96" s="172" t="s">
        <v>299</v>
      </c>
      <c r="E96" s="136"/>
      <c r="F96" s="183">
        <v>36617</v>
      </c>
      <c r="G96" s="184" t="s">
        <v>392</v>
      </c>
    </row>
    <row r="97" spans="1:14" ht="30" customHeight="1">
      <c r="A97" s="170">
        <f t="shared" si="1"/>
        <v>91</v>
      </c>
      <c r="B97" s="171" t="s">
        <v>307</v>
      </c>
      <c r="C97" s="329"/>
      <c r="D97" s="172" t="s">
        <v>300</v>
      </c>
      <c r="E97" s="136"/>
      <c r="F97" s="183">
        <v>36617</v>
      </c>
      <c r="G97" s="184" t="s">
        <v>392</v>
      </c>
    </row>
    <row r="98" spans="1:14" ht="30" customHeight="1">
      <c r="A98" s="170">
        <f t="shared" si="1"/>
        <v>92</v>
      </c>
      <c r="B98" s="171" t="s">
        <v>307</v>
      </c>
      <c r="C98" s="329"/>
      <c r="D98" s="172" t="s">
        <v>301</v>
      </c>
      <c r="E98" s="136"/>
      <c r="F98" s="183">
        <v>36617</v>
      </c>
      <c r="G98" s="184" t="s">
        <v>392</v>
      </c>
    </row>
    <row r="99" spans="1:14" ht="30" customHeight="1">
      <c r="A99" s="170">
        <f t="shared" si="1"/>
        <v>93</v>
      </c>
      <c r="B99" s="171" t="s">
        <v>307</v>
      </c>
      <c r="C99" s="332" t="s">
        <v>302</v>
      </c>
      <c r="D99" s="330"/>
      <c r="E99" s="136"/>
      <c r="F99" s="183">
        <v>36617</v>
      </c>
      <c r="G99" s="184" t="s">
        <v>392</v>
      </c>
    </row>
    <row r="100" spans="1:14" ht="30" customHeight="1">
      <c r="A100" s="170">
        <f t="shared" si="1"/>
        <v>94</v>
      </c>
      <c r="B100" s="171" t="s">
        <v>307</v>
      </c>
      <c r="C100" s="332" t="s">
        <v>303</v>
      </c>
      <c r="D100" s="330"/>
      <c r="E100" s="138"/>
      <c r="F100" s="180">
        <v>2</v>
      </c>
      <c r="G100" s="184" t="s">
        <v>398</v>
      </c>
    </row>
    <row r="101" spans="1:14" ht="30" customHeight="1">
      <c r="A101" s="170">
        <f t="shared" si="1"/>
        <v>95</v>
      </c>
      <c r="B101" s="171" t="s">
        <v>307</v>
      </c>
      <c r="C101" s="332" t="s">
        <v>304</v>
      </c>
      <c r="D101" s="330"/>
      <c r="E101" s="138"/>
      <c r="F101" s="180">
        <v>2</v>
      </c>
      <c r="G101" s="184" t="s">
        <v>399</v>
      </c>
    </row>
    <row r="102" spans="1:14" ht="30" customHeight="1">
      <c r="A102" s="170">
        <f t="shared" si="1"/>
        <v>96</v>
      </c>
      <c r="B102" s="171" t="s">
        <v>307</v>
      </c>
      <c r="C102" s="332" t="s">
        <v>292</v>
      </c>
      <c r="D102" s="330"/>
      <c r="E102" s="38"/>
      <c r="F102" s="181" t="s">
        <v>230</v>
      </c>
      <c r="G102" s="175"/>
    </row>
    <row r="103" spans="1:14" ht="30" customHeight="1">
      <c r="A103" s="155">
        <f t="shared" si="1"/>
        <v>97</v>
      </c>
      <c r="B103" s="185" t="s">
        <v>308</v>
      </c>
      <c r="C103" s="341" t="s">
        <v>213</v>
      </c>
      <c r="D103" s="342"/>
      <c r="E103" s="38" t="s">
        <v>214</v>
      </c>
      <c r="F103" s="163" t="s">
        <v>217</v>
      </c>
      <c r="G103" s="160" t="s">
        <v>402</v>
      </c>
      <c r="L103" s="69"/>
      <c r="M103" s="69"/>
      <c r="N103" s="69"/>
    </row>
    <row r="104" spans="1:14" ht="30" customHeight="1">
      <c r="A104" s="155">
        <f t="shared" si="1"/>
        <v>98</v>
      </c>
      <c r="B104" s="156" t="s">
        <v>308</v>
      </c>
      <c r="C104" s="341" t="s">
        <v>74</v>
      </c>
      <c r="D104" s="157" t="s">
        <v>125</v>
      </c>
      <c r="E104" s="38"/>
      <c r="F104" s="159" t="s">
        <v>75</v>
      </c>
      <c r="G104" s="160" t="s">
        <v>76</v>
      </c>
    </row>
    <row r="105" spans="1:14" ht="30" customHeight="1">
      <c r="A105" s="155">
        <f t="shared" si="1"/>
        <v>99</v>
      </c>
      <c r="B105" s="156" t="s">
        <v>308</v>
      </c>
      <c r="C105" s="341"/>
      <c r="D105" s="158" t="s">
        <v>198</v>
      </c>
      <c r="E105" s="40"/>
      <c r="F105" s="159" t="s">
        <v>199</v>
      </c>
      <c r="G105" s="160" t="s">
        <v>202</v>
      </c>
    </row>
    <row r="106" spans="1:14" ht="40.5">
      <c r="A106" s="155">
        <f t="shared" si="1"/>
        <v>100</v>
      </c>
      <c r="B106" s="156" t="s">
        <v>308</v>
      </c>
      <c r="C106" s="341"/>
      <c r="D106" s="158" t="s">
        <v>227</v>
      </c>
      <c r="E106" s="38"/>
      <c r="F106" s="159" t="s">
        <v>201</v>
      </c>
      <c r="G106" s="160" t="s">
        <v>290</v>
      </c>
    </row>
    <row r="107" spans="1:14" ht="30" customHeight="1">
      <c r="A107" s="155">
        <f t="shared" si="1"/>
        <v>101</v>
      </c>
      <c r="B107" s="156" t="s">
        <v>308</v>
      </c>
      <c r="C107" s="341"/>
      <c r="D107" s="158" t="s">
        <v>77</v>
      </c>
      <c r="E107" s="38"/>
      <c r="F107" s="159" t="s">
        <v>78</v>
      </c>
      <c r="G107" s="160" t="s">
        <v>205</v>
      </c>
    </row>
    <row r="108" spans="1:14" ht="30" customHeight="1">
      <c r="A108" s="155">
        <f t="shared" si="1"/>
        <v>102</v>
      </c>
      <c r="B108" s="156" t="s">
        <v>308</v>
      </c>
      <c r="C108" s="341"/>
      <c r="D108" s="158" t="s">
        <v>79</v>
      </c>
      <c r="E108" s="38"/>
      <c r="F108" s="159" t="s">
        <v>80</v>
      </c>
      <c r="G108" s="160" t="s">
        <v>204</v>
      </c>
    </row>
    <row r="109" spans="1:14" ht="30" customHeight="1">
      <c r="A109" s="155">
        <f t="shared" si="1"/>
        <v>103</v>
      </c>
      <c r="B109" s="156" t="s">
        <v>308</v>
      </c>
      <c r="C109" s="341"/>
      <c r="D109" s="158" t="s">
        <v>82</v>
      </c>
      <c r="E109" s="38"/>
      <c r="F109" s="159" t="s">
        <v>207</v>
      </c>
      <c r="G109" s="160" t="s">
        <v>84</v>
      </c>
    </row>
    <row r="110" spans="1:14" ht="30" customHeight="1">
      <c r="A110" s="155">
        <f t="shared" si="1"/>
        <v>104</v>
      </c>
      <c r="B110" s="156" t="s">
        <v>308</v>
      </c>
      <c r="C110" s="341"/>
      <c r="D110" s="158" t="s">
        <v>85</v>
      </c>
      <c r="E110" s="38"/>
      <c r="F110" s="159" t="s">
        <v>86</v>
      </c>
      <c r="G110" s="160" t="s">
        <v>203</v>
      </c>
    </row>
    <row r="111" spans="1:14" ht="30" customHeight="1">
      <c r="A111" s="155">
        <f t="shared" si="1"/>
        <v>105</v>
      </c>
      <c r="B111" s="156" t="s">
        <v>308</v>
      </c>
      <c r="C111" s="343" t="s">
        <v>102</v>
      </c>
      <c r="D111" s="158" t="s">
        <v>88</v>
      </c>
      <c r="E111" s="38"/>
      <c r="F111" s="159" t="s">
        <v>89</v>
      </c>
      <c r="G111" s="161" t="s">
        <v>206</v>
      </c>
    </row>
    <row r="112" spans="1:14" ht="30" customHeight="1">
      <c r="A112" s="155">
        <f t="shared" si="1"/>
        <v>106</v>
      </c>
      <c r="B112" s="156" t="s">
        <v>308</v>
      </c>
      <c r="C112" s="341"/>
      <c r="D112" s="158" t="s">
        <v>98</v>
      </c>
      <c r="E112" s="38"/>
      <c r="F112" s="162" t="s">
        <v>91</v>
      </c>
      <c r="G112" s="161" t="s">
        <v>206</v>
      </c>
    </row>
    <row r="113" spans="1:7" ht="30" customHeight="1">
      <c r="A113" s="155">
        <f t="shared" si="1"/>
        <v>107</v>
      </c>
      <c r="B113" s="156" t="s">
        <v>308</v>
      </c>
      <c r="C113" s="341"/>
      <c r="D113" s="158" t="s">
        <v>92</v>
      </c>
      <c r="E113" s="39"/>
      <c r="F113" s="163" t="s">
        <v>208</v>
      </c>
      <c r="G113" s="161" t="s">
        <v>206</v>
      </c>
    </row>
    <row r="114" spans="1:7" ht="30" customHeight="1">
      <c r="A114" s="155">
        <f t="shared" si="1"/>
        <v>108</v>
      </c>
      <c r="B114" s="156" t="s">
        <v>308</v>
      </c>
      <c r="C114" s="341"/>
      <c r="D114" s="158" t="s">
        <v>82</v>
      </c>
      <c r="E114" s="39"/>
      <c r="F114" s="159" t="s">
        <v>207</v>
      </c>
      <c r="G114" s="160" t="s">
        <v>84</v>
      </c>
    </row>
    <row r="115" spans="1:7" ht="30" customHeight="1">
      <c r="A115" s="155">
        <f t="shared" si="1"/>
        <v>109</v>
      </c>
      <c r="B115" s="156" t="s">
        <v>308</v>
      </c>
      <c r="C115" s="341"/>
      <c r="D115" s="158" t="s">
        <v>85</v>
      </c>
      <c r="E115" s="39"/>
      <c r="F115" s="159" t="s">
        <v>86</v>
      </c>
      <c r="G115" s="160" t="s">
        <v>87</v>
      </c>
    </row>
    <row r="116" spans="1:7" ht="30" customHeight="1">
      <c r="A116" s="155">
        <f t="shared" si="1"/>
        <v>110</v>
      </c>
      <c r="B116" s="156" t="s">
        <v>308</v>
      </c>
      <c r="C116" s="341"/>
      <c r="D116" s="158" t="s">
        <v>95</v>
      </c>
      <c r="E116" s="38"/>
      <c r="F116" s="159" t="s">
        <v>233</v>
      </c>
      <c r="G116" s="160" t="s">
        <v>94</v>
      </c>
    </row>
    <row r="117" spans="1:7" ht="30" customHeight="1">
      <c r="A117" s="155">
        <f t="shared" si="1"/>
        <v>111</v>
      </c>
      <c r="B117" s="156" t="s">
        <v>308</v>
      </c>
      <c r="C117" s="341"/>
      <c r="D117" s="158" t="s">
        <v>96</v>
      </c>
      <c r="E117" s="40"/>
      <c r="F117" s="164" t="s">
        <v>209</v>
      </c>
      <c r="G117" s="161" t="s">
        <v>206</v>
      </c>
    </row>
    <row r="118" spans="1:7" ht="30" customHeight="1">
      <c r="A118" s="155">
        <f t="shared" si="1"/>
        <v>112</v>
      </c>
      <c r="B118" s="156" t="s">
        <v>308</v>
      </c>
      <c r="C118" s="341" t="s">
        <v>99</v>
      </c>
      <c r="D118" s="342"/>
      <c r="E118" s="90"/>
      <c r="F118" s="163">
        <v>15000000</v>
      </c>
      <c r="G118" s="160" t="s">
        <v>305</v>
      </c>
    </row>
    <row r="119" spans="1:7" ht="30" customHeight="1">
      <c r="A119" s="155">
        <f t="shared" si="1"/>
        <v>113</v>
      </c>
      <c r="B119" s="156" t="s">
        <v>308</v>
      </c>
      <c r="C119" s="344" t="s">
        <v>228</v>
      </c>
      <c r="D119" s="342"/>
      <c r="E119" s="138"/>
      <c r="F119" s="165">
        <v>50</v>
      </c>
      <c r="G119" s="160" t="s">
        <v>229</v>
      </c>
    </row>
    <row r="120" spans="1:7" ht="40.5">
      <c r="A120" s="155">
        <f t="shared" si="1"/>
        <v>114</v>
      </c>
      <c r="B120" s="156" t="s">
        <v>308</v>
      </c>
      <c r="C120" s="341" t="s">
        <v>235</v>
      </c>
      <c r="D120" s="342"/>
      <c r="E120" s="38"/>
      <c r="F120" s="166" t="s">
        <v>240</v>
      </c>
      <c r="G120" s="160" t="s">
        <v>361</v>
      </c>
    </row>
    <row r="121" spans="1:7" ht="30" customHeight="1">
      <c r="A121" s="155">
        <f t="shared" si="1"/>
        <v>115</v>
      </c>
      <c r="B121" s="156" t="s">
        <v>308</v>
      </c>
      <c r="C121" s="341" t="s">
        <v>242</v>
      </c>
      <c r="D121" s="342"/>
      <c r="E121" s="38"/>
      <c r="F121" s="166" t="s">
        <v>241</v>
      </c>
      <c r="G121" s="160" t="s">
        <v>400</v>
      </c>
    </row>
    <row r="122" spans="1:7" ht="30" customHeight="1">
      <c r="A122" s="155">
        <f t="shared" si="1"/>
        <v>116</v>
      </c>
      <c r="B122" s="156" t="s">
        <v>308</v>
      </c>
      <c r="C122" s="341" t="s">
        <v>234</v>
      </c>
      <c r="D122" s="342"/>
      <c r="E122" s="90"/>
      <c r="F122" s="167">
        <v>10000000000</v>
      </c>
      <c r="G122" s="160" t="s">
        <v>306</v>
      </c>
    </row>
    <row r="123" spans="1:7" ht="30" customHeight="1">
      <c r="A123" s="155">
        <f t="shared" si="1"/>
        <v>117</v>
      </c>
      <c r="B123" s="156" t="s">
        <v>308</v>
      </c>
      <c r="C123" s="343" t="s">
        <v>294</v>
      </c>
      <c r="D123" s="157" t="s">
        <v>295</v>
      </c>
      <c r="E123" s="136"/>
      <c r="F123" s="168">
        <v>36617</v>
      </c>
      <c r="G123" s="169" t="s">
        <v>392</v>
      </c>
    </row>
    <row r="124" spans="1:7" ht="30" customHeight="1">
      <c r="A124" s="155">
        <f t="shared" si="1"/>
        <v>118</v>
      </c>
      <c r="B124" s="156" t="s">
        <v>308</v>
      </c>
      <c r="C124" s="341"/>
      <c r="D124" s="157" t="s">
        <v>296</v>
      </c>
      <c r="E124" s="136"/>
      <c r="F124" s="168">
        <v>36617</v>
      </c>
      <c r="G124" s="169" t="s">
        <v>392</v>
      </c>
    </row>
    <row r="125" spans="1:7" ht="30" customHeight="1">
      <c r="A125" s="155">
        <f t="shared" si="1"/>
        <v>119</v>
      </c>
      <c r="B125" s="156" t="s">
        <v>308</v>
      </c>
      <c r="C125" s="341"/>
      <c r="D125" s="157" t="s">
        <v>297</v>
      </c>
      <c r="E125" s="136"/>
      <c r="F125" s="168">
        <v>36617</v>
      </c>
      <c r="G125" s="169" t="s">
        <v>392</v>
      </c>
    </row>
    <row r="126" spans="1:7" ht="30" customHeight="1">
      <c r="A126" s="155">
        <f t="shared" si="1"/>
        <v>120</v>
      </c>
      <c r="B126" s="156" t="s">
        <v>308</v>
      </c>
      <c r="C126" s="341"/>
      <c r="D126" s="157" t="s">
        <v>298</v>
      </c>
      <c r="E126" s="136"/>
      <c r="F126" s="168">
        <v>36617</v>
      </c>
      <c r="G126" s="169" t="s">
        <v>392</v>
      </c>
    </row>
    <row r="127" spans="1:7" ht="30" customHeight="1">
      <c r="A127" s="155">
        <f t="shared" si="1"/>
        <v>121</v>
      </c>
      <c r="B127" s="156" t="s">
        <v>308</v>
      </c>
      <c r="C127" s="343" t="s">
        <v>391</v>
      </c>
      <c r="D127" s="157" t="s">
        <v>299</v>
      </c>
      <c r="E127" s="136"/>
      <c r="F127" s="168">
        <v>36617</v>
      </c>
      <c r="G127" s="169" t="s">
        <v>392</v>
      </c>
    </row>
    <row r="128" spans="1:7" ht="30" customHeight="1">
      <c r="A128" s="155">
        <f t="shared" si="1"/>
        <v>122</v>
      </c>
      <c r="B128" s="156" t="s">
        <v>308</v>
      </c>
      <c r="C128" s="341"/>
      <c r="D128" s="157" t="s">
        <v>300</v>
      </c>
      <c r="E128" s="136"/>
      <c r="F128" s="168">
        <v>36617</v>
      </c>
      <c r="G128" s="169" t="s">
        <v>392</v>
      </c>
    </row>
    <row r="129" spans="1:14" ht="30" customHeight="1">
      <c r="A129" s="155">
        <f t="shared" si="1"/>
        <v>123</v>
      </c>
      <c r="B129" s="156" t="s">
        <v>308</v>
      </c>
      <c r="C129" s="341"/>
      <c r="D129" s="157" t="s">
        <v>301</v>
      </c>
      <c r="E129" s="136"/>
      <c r="F129" s="168">
        <v>36617</v>
      </c>
      <c r="G129" s="169" t="s">
        <v>392</v>
      </c>
    </row>
    <row r="130" spans="1:14" ht="30" customHeight="1">
      <c r="A130" s="155">
        <f t="shared" si="1"/>
        <v>124</v>
      </c>
      <c r="B130" s="156" t="s">
        <v>308</v>
      </c>
      <c r="C130" s="344" t="s">
        <v>302</v>
      </c>
      <c r="D130" s="342"/>
      <c r="E130" s="136"/>
      <c r="F130" s="168">
        <v>36617</v>
      </c>
      <c r="G130" s="169" t="s">
        <v>392</v>
      </c>
    </row>
    <row r="131" spans="1:14" ht="30" customHeight="1">
      <c r="A131" s="155">
        <f t="shared" si="1"/>
        <v>125</v>
      </c>
      <c r="B131" s="156" t="s">
        <v>308</v>
      </c>
      <c r="C131" s="344" t="s">
        <v>303</v>
      </c>
      <c r="D131" s="342"/>
      <c r="E131" s="138"/>
      <c r="F131" s="165">
        <v>2</v>
      </c>
      <c r="G131" s="169" t="s">
        <v>398</v>
      </c>
    </row>
    <row r="132" spans="1:14" ht="30" customHeight="1">
      <c r="A132" s="155">
        <f t="shared" si="1"/>
        <v>126</v>
      </c>
      <c r="B132" s="156" t="s">
        <v>308</v>
      </c>
      <c r="C132" s="344" t="s">
        <v>304</v>
      </c>
      <c r="D132" s="342"/>
      <c r="E132" s="138"/>
      <c r="F132" s="165">
        <v>2</v>
      </c>
      <c r="G132" s="169" t="s">
        <v>399</v>
      </c>
    </row>
    <row r="133" spans="1:14" ht="30" customHeight="1">
      <c r="A133" s="155">
        <f t="shared" si="1"/>
        <v>127</v>
      </c>
      <c r="B133" s="156" t="s">
        <v>308</v>
      </c>
      <c r="C133" s="344" t="s">
        <v>292</v>
      </c>
      <c r="D133" s="342"/>
      <c r="E133" s="38"/>
      <c r="F133" s="166" t="s">
        <v>230</v>
      </c>
      <c r="G133" s="160"/>
    </row>
    <row r="134" spans="1:14" ht="30" customHeight="1">
      <c r="A134" s="187">
        <f t="shared" si="1"/>
        <v>128</v>
      </c>
      <c r="B134" s="188" t="s">
        <v>309</v>
      </c>
      <c r="C134" s="346" t="s">
        <v>213</v>
      </c>
      <c r="D134" s="347"/>
      <c r="E134" s="38" t="s">
        <v>214</v>
      </c>
      <c r="F134" s="196" t="s">
        <v>217</v>
      </c>
      <c r="G134" s="193" t="s">
        <v>402</v>
      </c>
      <c r="L134" s="69"/>
      <c r="M134" s="69"/>
      <c r="N134" s="69"/>
    </row>
    <row r="135" spans="1:14" ht="30" customHeight="1">
      <c r="A135" s="187">
        <f t="shared" si="1"/>
        <v>129</v>
      </c>
      <c r="B135" s="188" t="s">
        <v>309</v>
      </c>
      <c r="C135" s="346" t="s">
        <v>74</v>
      </c>
      <c r="D135" s="189" t="s">
        <v>125</v>
      </c>
      <c r="E135" s="38"/>
      <c r="F135" s="192" t="s">
        <v>75</v>
      </c>
      <c r="G135" s="193" t="s">
        <v>76</v>
      </c>
    </row>
    <row r="136" spans="1:14" ht="30" customHeight="1">
      <c r="A136" s="187">
        <f t="shared" si="1"/>
        <v>130</v>
      </c>
      <c r="B136" s="190" t="s">
        <v>309</v>
      </c>
      <c r="C136" s="346"/>
      <c r="D136" s="191" t="s">
        <v>198</v>
      </c>
      <c r="E136" s="40"/>
      <c r="F136" s="192" t="s">
        <v>199</v>
      </c>
      <c r="G136" s="193" t="s">
        <v>202</v>
      </c>
    </row>
    <row r="137" spans="1:14" ht="40.5">
      <c r="A137" s="187">
        <f t="shared" ref="A137:A200" si="2">ROW()-6</f>
        <v>131</v>
      </c>
      <c r="B137" s="190" t="s">
        <v>309</v>
      </c>
      <c r="C137" s="346"/>
      <c r="D137" s="191" t="s">
        <v>227</v>
      </c>
      <c r="E137" s="38"/>
      <c r="F137" s="192" t="s">
        <v>201</v>
      </c>
      <c r="G137" s="193" t="s">
        <v>290</v>
      </c>
    </row>
    <row r="138" spans="1:14" ht="30" customHeight="1">
      <c r="A138" s="187">
        <f t="shared" si="2"/>
        <v>132</v>
      </c>
      <c r="B138" s="190" t="s">
        <v>309</v>
      </c>
      <c r="C138" s="346"/>
      <c r="D138" s="191" t="s">
        <v>77</v>
      </c>
      <c r="E138" s="38"/>
      <c r="F138" s="192" t="s">
        <v>78</v>
      </c>
      <c r="G138" s="193" t="s">
        <v>205</v>
      </c>
    </row>
    <row r="139" spans="1:14" ht="30" customHeight="1">
      <c r="A139" s="187">
        <f t="shared" si="2"/>
        <v>133</v>
      </c>
      <c r="B139" s="190" t="s">
        <v>309</v>
      </c>
      <c r="C139" s="346"/>
      <c r="D139" s="191" t="s">
        <v>79</v>
      </c>
      <c r="E139" s="38"/>
      <c r="F139" s="192" t="s">
        <v>80</v>
      </c>
      <c r="G139" s="193" t="s">
        <v>204</v>
      </c>
    </row>
    <row r="140" spans="1:14" ht="30" customHeight="1">
      <c r="A140" s="187">
        <f t="shared" si="2"/>
        <v>134</v>
      </c>
      <c r="B140" s="190" t="s">
        <v>309</v>
      </c>
      <c r="C140" s="346"/>
      <c r="D140" s="191" t="s">
        <v>82</v>
      </c>
      <c r="E140" s="38"/>
      <c r="F140" s="192" t="s">
        <v>207</v>
      </c>
      <c r="G140" s="193" t="s">
        <v>84</v>
      </c>
    </row>
    <row r="141" spans="1:14" ht="30" customHeight="1">
      <c r="A141" s="187">
        <f t="shared" si="2"/>
        <v>135</v>
      </c>
      <c r="B141" s="190" t="s">
        <v>309</v>
      </c>
      <c r="C141" s="346"/>
      <c r="D141" s="191" t="s">
        <v>85</v>
      </c>
      <c r="E141" s="38"/>
      <c r="F141" s="192" t="s">
        <v>86</v>
      </c>
      <c r="G141" s="193" t="s">
        <v>203</v>
      </c>
    </row>
    <row r="142" spans="1:14" ht="30" customHeight="1">
      <c r="A142" s="187">
        <f t="shared" si="2"/>
        <v>136</v>
      </c>
      <c r="B142" s="190" t="s">
        <v>309</v>
      </c>
      <c r="C142" s="345" t="s">
        <v>102</v>
      </c>
      <c r="D142" s="191" t="s">
        <v>88</v>
      </c>
      <c r="E142" s="38"/>
      <c r="F142" s="192" t="s">
        <v>89</v>
      </c>
      <c r="G142" s="194" t="s">
        <v>206</v>
      </c>
    </row>
    <row r="143" spans="1:14" ht="30" customHeight="1">
      <c r="A143" s="187">
        <f t="shared" si="2"/>
        <v>137</v>
      </c>
      <c r="B143" s="190" t="s">
        <v>309</v>
      </c>
      <c r="C143" s="346"/>
      <c r="D143" s="191" t="s">
        <v>98</v>
      </c>
      <c r="E143" s="38"/>
      <c r="F143" s="195" t="s">
        <v>91</v>
      </c>
      <c r="G143" s="194" t="s">
        <v>206</v>
      </c>
    </row>
    <row r="144" spans="1:14" ht="30" customHeight="1">
      <c r="A144" s="187">
        <f t="shared" si="2"/>
        <v>138</v>
      </c>
      <c r="B144" s="190" t="s">
        <v>309</v>
      </c>
      <c r="C144" s="346"/>
      <c r="D144" s="191" t="s">
        <v>92</v>
      </c>
      <c r="E144" s="39"/>
      <c r="F144" s="196" t="s">
        <v>208</v>
      </c>
      <c r="G144" s="194" t="s">
        <v>206</v>
      </c>
    </row>
    <row r="145" spans="1:7" ht="30" customHeight="1">
      <c r="A145" s="187">
        <f t="shared" si="2"/>
        <v>139</v>
      </c>
      <c r="B145" s="190" t="s">
        <v>309</v>
      </c>
      <c r="C145" s="346"/>
      <c r="D145" s="191" t="s">
        <v>82</v>
      </c>
      <c r="E145" s="39"/>
      <c r="F145" s="192" t="s">
        <v>207</v>
      </c>
      <c r="G145" s="193" t="s">
        <v>84</v>
      </c>
    </row>
    <row r="146" spans="1:7" ht="30" customHeight="1">
      <c r="A146" s="187">
        <f t="shared" si="2"/>
        <v>140</v>
      </c>
      <c r="B146" s="190" t="s">
        <v>309</v>
      </c>
      <c r="C146" s="346"/>
      <c r="D146" s="191" t="s">
        <v>85</v>
      </c>
      <c r="E146" s="39"/>
      <c r="F146" s="192" t="s">
        <v>86</v>
      </c>
      <c r="G146" s="193" t="s">
        <v>87</v>
      </c>
    </row>
    <row r="147" spans="1:7" ht="30" customHeight="1">
      <c r="A147" s="187">
        <f t="shared" si="2"/>
        <v>141</v>
      </c>
      <c r="B147" s="190" t="s">
        <v>309</v>
      </c>
      <c r="C147" s="346"/>
      <c r="D147" s="191" t="s">
        <v>95</v>
      </c>
      <c r="E147" s="38"/>
      <c r="F147" s="192" t="s">
        <v>233</v>
      </c>
      <c r="G147" s="193" t="s">
        <v>94</v>
      </c>
    </row>
    <row r="148" spans="1:7" ht="30" customHeight="1">
      <c r="A148" s="187">
        <f t="shared" si="2"/>
        <v>142</v>
      </c>
      <c r="B148" s="190" t="s">
        <v>309</v>
      </c>
      <c r="C148" s="346"/>
      <c r="D148" s="191" t="s">
        <v>96</v>
      </c>
      <c r="E148" s="40"/>
      <c r="F148" s="197" t="s">
        <v>209</v>
      </c>
      <c r="G148" s="194" t="s">
        <v>206</v>
      </c>
    </row>
    <row r="149" spans="1:7" ht="30" customHeight="1">
      <c r="A149" s="187">
        <f t="shared" si="2"/>
        <v>143</v>
      </c>
      <c r="B149" s="190" t="s">
        <v>309</v>
      </c>
      <c r="C149" s="346" t="s">
        <v>99</v>
      </c>
      <c r="D149" s="347"/>
      <c r="E149" s="90"/>
      <c r="F149" s="196">
        <v>15000000</v>
      </c>
      <c r="G149" s="193" t="s">
        <v>305</v>
      </c>
    </row>
    <row r="150" spans="1:7" ht="30" customHeight="1">
      <c r="A150" s="187">
        <f t="shared" si="2"/>
        <v>144</v>
      </c>
      <c r="B150" s="190" t="s">
        <v>309</v>
      </c>
      <c r="C150" s="348" t="s">
        <v>228</v>
      </c>
      <c r="D150" s="347"/>
      <c r="E150" s="138"/>
      <c r="F150" s="198">
        <v>50</v>
      </c>
      <c r="G150" s="193" t="s">
        <v>229</v>
      </c>
    </row>
    <row r="151" spans="1:7" ht="40.5">
      <c r="A151" s="187">
        <f t="shared" si="2"/>
        <v>145</v>
      </c>
      <c r="B151" s="190" t="s">
        <v>309</v>
      </c>
      <c r="C151" s="346" t="s">
        <v>235</v>
      </c>
      <c r="D151" s="347"/>
      <c r="E151" s="38"/>
      <c r="F151" s="199" t="s">
        <v>240</v>
      </c>
      <c r="G151" s="193" t="s">
        <v>361</v>
      </c>
    </row>
    <row r="152" spans="1:7" ht="30" customHeight="1">
      <c r="A152" s="187">
        <f t="shared" si="2"/>
        <v>146</v>
      </c>
      <c r="B152" s="190" t="s">
        <v>309</v>
      </c>
      <c r="C152" s="346" t="s">
        <v>242</v>
      </c>
      <c r="D152" s="347"/>
      <c r="E152" s="38"/>
      <c r="F152" s="199" t="s">
        <v>241</v>
      </c>
      <c r="G152" s="193" t="s">
        <v>400</v>
      </c>
    </row>
    <row r="153" spans="1:7" ht="30" customHeight="1">
      <c r="A153" s="187">
        <f t="shared" si="2"/>
        <v>147</v>
      </c>
      <c r="B153" s="190" t="s">
        <v>309</v>
      </c>
      <c r="C153" s="346" t="s">
        <v>234</v>
      </c>
      <c r="D153" s="347"/>
      <c r="E153" s="90"/>
      <c r="F153" s="200">
        <v>10000000000</v>
      </c>
      <c r="G153" s="193" t="s">
        <v>306</v>
      </c>
    </row>
    <row r="154" spans="1:7" ht="30" customHeight="1">
      <c r="A154" s="187">
        <f t="shared" si="2"/>
        <v>148</v>
      </c>
      <c r="B154" s="190" t="s">
        <v>309</v>
      </c>
      <c r="C154" s="345" t="s">
        <v>294</v>
      </c>
      <c r="D154" s="189" t="s">
        <v>295</v>
      </c>
      <c r="E154" s="136"/>
      <c r="F154" s="201">
        <v>36617</v>
      </c>
      <c r="G154" s="202" t="s">
        <v>392</v>
      </c>
    </row>
    <row r="155" spans="1:7" ht="30" customHeight="1">
      <c r="A155" s="187">
        <f t="shared" si="2"/>
        <v>149</v>
      </c>
      <c r="B155" s="190" t="s">
        <v>309</v>
      </c>
      <c r="C155" s="346"/>
      <c r="D155" s="189" t="s">
        <v>296</v>
      </c>
      <c r="E155" s="136"/>
      <c r="F155" s="201">
        <v>36617</v>
      </c>
      <c r="G155" s="202" t="s">
        <v>392</v>
      </c>
    </row>
    <row r="156" spans="1:7" ht="30" customHeight="1">
      <c r="A156" s="187">
        <f t="shared" si="2"/>
        <v>150</v>
      </c>
      <c r="B156" s="190" t="s">
        <v>309</v>
      </c>
      <c r="C156" s="346"/>
      <c r="D156" s="189" t="s">
        <v>297</v>
      </c>
      <c r="E156" s="136"/>
      <c r="F156" s="201">
        <v>36617</v>
      </c>
      <c r="G156" s="202" t="s">
        <v>392</v>
      </c>
    </row>
    <row r="157" spans="1:7" ht="30" customHeight="1">
      <c r="A157" s="187">
        <f t="shared" si="2"/>
        <v>151</v>
      </c>
      <c r="B157" s="190" t="s">
        <v>309</v>
      </c>
      <c r="C157" s="346"/>
      <c r="D157" s="189" t="s">
        <v>298</v>
      </c>
      <c r="E157" s="136"/>
      <c r="F157" s="201">
        <v>36617</v>
      </c>
      <c r="G157" s="202" t="s">
        <v>392</v>
      </c>
    </row>
    <row r="158" spans="1:7" ht="30" customHeight="1">
      <c r="A158" s="187">
        <f t="shared" si="2"/>
        <v>152</v>
      </c>
      <c r="B158" s="190" t="s">
        <v>309</v>
      </c>
      <c r="C158" s="345" t="s">
        <v>391</v>
      </c>
      <c r="D158" s="189" t="s">
        <v>299</v>
      </c>
      <c r="E158" s="136"/>
      <c r="F158" s="201">
        <v>36617</v>
      </c>
      <c r="G158" s="202" t="s">
        <v>392</v>
      </c>
    </row>
    <row r="159" spans="1:7" ht="30" customHeight="1">
      <c r="A159" s="187">
        <f t="shared" si="2"/>
        <v>153</v>
      </c>
      <c r="B159" s="190" t="s">
        <v>309</v>
      </c>
      <c r="C159" s="346"/>
      <c r="D159" s="189" t="s">
        <v>300</v>
      </c>
      <c r="E159" s="136"/>
      <c r="F159" s="201">
        <v>36617</v>
      </c>
      <c r="G159" s="202" t="s">
        <v>392</v>
      </c>
    </row>
    <row r="160" spans="1:7" ht="30" customHeight="1">
      <c r="A160" s="187">
        <f t="shared" si="2"/>
        <v>154</v>
      </c>
      <c r="B160" s="190" t="s">
        <v>309</v>
      </c>
      <c r="C160" s="346"/>
      <c r="D160" s="189" t="s">
        <v>301</v>
      </c>
      <c r="E160" s="136"/>
      <c r="F160" s="201">
        <v>36617</v>
      </c>
      <c r="G160" s="202" t="s">
        <v>392</v>
      </c>
    </row>
    <row r="161" spans="1:14" ht="30" customHeight="1">
      <c r="A161" s="187">
        <f t="shared" si="2"/>
        <v>155</v>
      </c>
      <c r="B161" s="190" t="s">
        <v>309</v>
      </c>
      <c r="C161" s="348" t="s">
        <v>302</v>
      </c>
      <c r="D161" s="347"/>
      <c r="E161" s="136"/>
      <c r="F161" s="201">
        <v>36617</v>
      </c>
      <c r="G161" s="202" t="s">
        <v>392</v>
      </c>
    </row>
    <row r="162" spans="1:14" ht="30" customHeight="1">
      <c r="A162" s="187">
        <f t="shared" si="2"/>
        <v>156</v>
      </c>
      <c r="B162" s="190" t="s">
        <v>309</v>
      </c>
      <c r="C162" s="348" t="s">
        <v>303</v>
      </c>
      <c r="D162" s="347"/>
      <c r="E162" s="138"/>
      <c r="F162" s="198">
        <v>2</v>
      </c>
      <c r="G162" s="202" t="s">
        <v>398</v>
      </c>
    </row>
    <row r="163" spans="1:14" ht="30" customHeight="1">
      <c r="A163" s="187">
        <f t="shared" si="2"/>
        <v>157</v>
      </c>
      <c r="B163" s="190" t="s">
        <v>309</v>
      </c>
      <c r="C163" s="348" t="s">
        <v>304</v>
      </c>
      <c r="D163" s="347"/>
      <c r="E163" s="138"/>
      <c r="F163" s="198">
        <v>2</v>
      </c>
      <c r="G163" s="202" t="s">
        <v>399</v>
      </c>
    </row>
    <row r="164" spans="1:14" ht="30" customHeight="1">
      <c r="A164" s="187">
        <f t="shared" si="2"/>
        <v>158</v>
      </c>
      <c r="B164" s="190" t="s">
        <v>309</v>
      </c>
      <c r="C164" s="348" t="s">
        <v>292</v>
      </c>
      <c r="D164" s="347"/>
      <c r="E164" s="38"/>
      <c r="F164" s="199" t="s">
        <v>230</v>
      </c>
      <c r="G164" s="193"/>
    </row>
    <row r="165" spans="1:14" ht="30" customHeight="1">
      <c r="A165" s="203">
        <f t="shared" si="2"/>
        <v>159</v>
      </c>
      <c r="B165" s="204" t="s">
        <v>310</v>
      </c>
      <c r="C165" s="349" t="s">
        <v>213</v>
      </c>
      <c r="D165" s="350"/>
      <c r="E165" s="38" t="s">
        <v>214</v>
      </c>
      <c r="F165" s="208" t="s">
        <v>217</v>
      </c>
      <c r="G165" s="209" t="s">
        <v>402</v>
      </c>
      <c r="L165" s="69"/>
      <c r="M165" s="69"/>
      <c r="N165" s="69"/>
    </row>
    <row r="166" spans="1:14" ht="30" customHeight="1">
      <c r="A166" s="203">
        <f t="shared" si="2"/>
        <v>160</v>
      </c>
      <c r="B166" s="205" t="s">
        <v>310</v>
      </c>
      <c r="C166" s="349" t="s">
        <v>74</v>
      </c>
      <c r="D166" s="206" t="s">
        <v>125</v>
      </c>
      <c r="E166" s="38"/>
      <c r="F166" s="210" t="s">
        <v>75</v>
      </c>
      <c r="G166" s="209" t="s">
        <v>76</v>
      </c>
    </row>
    <row r="167" spans="1:14" ht="30" customHeight="1">
      <c r="A167" s="203">
        <f t="shared" si="2"/>
        <v>161</v>
      </c>
      <c r="B167" s="205" t="s">
        <v>310</v>
      </c>
      <c r="C167" s="349"/>
      <c r="D167" s="207" t="s">
        <v>198</v>
      </c>
      <c r="E167" s="40"/>
      <c r="F167" s="210" t="s">
        <v>199</v>
      </c>
      <c r="G167" s="209" t="s">
        <v>202</v>
      </c>
    </row>
    <row r="168" spans="1:14" ht="40.5">
      <c r="A168" s="203">
        <f t="shared" si="2"/>
        <v>162</v>
      </c>
      <c r="B168" s="205" t="s">
        <v>310</v>
      </c>
      <c r="C168" s="349"/>
      <c r="D168" s="207" t="s">
        <v>227</v>
      </c>
      <c r="E168" s="38"/>
      <c r="F168" s="210" t="s">
        <v>201</v>
      </c>
      <c r="G168" s="209" t="s">
        <v>290</v>
      </c>
    </row>
    <row r="169" spans="1:14" ht="30" customHeight="1">
      <c r="A169" s="203">
        <f t="shared" si="2"/>
        <v>163</v>
      </c>
      <c r="B169" s="205" t="s">
        <v>310</v>
      </c>
      <c r="C169" s="349"/>
      <c r="D169" s="207" t="s">
        <v>77</v>
      </c>
      <c r="E169" s="38"/>
      <c r="F169" s="210" t="s">
        <v>78</v>
      </c>
      <c r="G169" s="209" t="s">
        <v>205</v>
      </c>
    </row>
    <row r="170" spans="1:14" ht="30" customHeight="1">
      <c r="A170" s="203">
        <f t="shared" si="2"/>
        <v>164</v>
      </c>
      <c r="B170" s="205" t="s">
        <v>310</v>
      </c>
      <c r="C170" s="349"/>
      <c r="D170" s="207" t="s">
        <v>79</v>
      </c>
      <c r="E170" s="38"/>
      <c r="F170" s="210" t="s">
        <v>80</v>
      </c>
      <c r="G170" s="209" t="s">
        <v>204</v>
      </c>
    </row>
    <row r="171" spans="1:14" ht="30" customHeight="1">
      <c r="A171" s="203">
        <f t="shared" si="2"/>
        <v>165</v>
      </c>
      <c r="B171" s="205" t="s">
        <v>310</v>
      </c>
      <c r="C171" s="349"/>
      <c r="D171" s="207" t="s">
        <v>82</v>
      </c>
      <c r="E171" s="38"/>
      <c r="F171" s="210" t="s">
        <v>207</v>
      </c>
      <c r="G171" s="209" t="s">
        <v>84</v>
      </c>
    </row>
    <row r="172" spans="1:14" ht="30" customHeight="1">
      <c r="A172" s="203">
        <f t="shared" si="2"/>
        <v>166</v>
      </c>
      <c r="B172" s="205" t="s">
        <v>310</v>
      </c>
      <c r="C172" s="349"/>
      <c r="D172" s="207" t="s">
        <v>85</v>
      </c>
      <c r="E172" s="38"/>
      <c r="F172" s="210" t="s">
        <v>86</v>
      </c>
      <c r="G172" s="209" t="s">
        <v>203</v>
      </c>
    </row>
    <row r="173" spans="1:14" ht="30" customHeight="1">
      <c r="A173" s="203">
        <f t="shared" si="2"/>
        <v>167</v>
      </c>
      <c r="B173" s="205" t="s">
        <v>310</v>
      </c>
      <c r="C173" s="351" t="s">
        <v>102</v>
      </c>
      <c r="D173" s="207" t="s">
        <v>88</v>
      </c>
      <c r="E173" s="38"/>
      <c r="F173" s="210" t="s">
        <v>89</v>
      </c>
      <c r="G173" s="211" t="s">
        <v>206</v>
      </c>
    </row>
    <row r="174" spans="1:14" ht="30" customHeight="1">
      <c r="A174" s="203">
        <f t="shared" si="2"/>
        <v>168</v>
      </c>
      <c r="B174" s="205" t="s">
        <v>310</v>
      </c>
      <c r="C174" s="349"/>
      <c r="D174" s="207" t="s">
        <v>98</v>
      </c>
      <c r="E174" s="38"/>
      <c r="F174" s="212" t="s">
        <v>91</v>
      </c>
      <c r="G174" s="211" t="s">
        <v>206</v>
      </c>
    </row>
    <row r="175" spans="1:14" ht="30" customHeight="1">
      <c r="A175" s="203">
        <f t="shared" si="2"/>
        <v>169</v>
      </c>
      <c r="B175" s="205" t="s">
        <v>310</v>
      </c>
      <c r="C175" s="349"/>
      <c r="D175" s="207" t="s">
        <v>92</v>
      </c>
      <c r="E175" s="39"/>
      <c r="F175" s="208" t="s">
        <v>208</v>
      </c>
      <c r="G175" s="211" t="s">
        <v>206</v>
      </c>
    </row>
    <row r="176" spans="1:14" ht="30" customHeight="1">
      <c r="A176" s="203">
        <f t="shared" si="2"/>
        <v>170</v>
      </c>
      <c r="B176" s="205" t="s">
        <v>310</v>
      </c>
      <c r="C176" s="349"/>
      <c r="D176" s="207" t="s">
        <v>82</v>
      </c>
      <c r="E176" s="39"/>
      <c r="F176" s="210" t="s">
        <v>207</v>
      </c>
      <c r="G176" s="209" t="s">
        <v>84</v>
      </c>
    </row>
    <row r="177" spans="1:7" ht="30" customHeight="1">
      <c r="A177" s="203">
        <f t="shared" si="2"/>
        <v>171</v>
      </c>
      <c r="B177" s="205" t="s">
        <v>310</v>
      </c>
      <c r="C177" s="349"/>
      <c r="D177" s="207" t="s">
        <v>85</v>
      </c>
      <c r="E177" s="39"/>
      <c r="F177" s="210" t="s">
        <v>86</v>
      </c>
      <c r="G177" s="209" t="s">
        <v>87</v>
      </c>
    </row>
    <row r="178" spans="1:7" ht="30" customHeight="1">
      <c r="A178" s="203">
        <f t="shared" si="2"/>
        <v>172</v>
      </c>
      <c r="B178" s="205" t="s">
        <v>310</v>
      </c>
      <c r="C178" s="349"/>
      <c r="D178" s="207" t="s">
        <v>95</v>
      </c>
      <c r="E178" s="38"/>
      <c r="F178" s="210" t="s">
        <v>233</v>
      </c>
      <c r="G178" s="209" t="s">
        <v>94</v>
      </c>
    </row>
    <row r="179" spans="1:7" ht="30" customHeight="1">
      <c r="A179" s="203">
        <f t="shared" si="2"/>
        <v>173</v>
      </c>
      <c r="B179" s="205" t="s">
        <v>310</v>
      </c>
      <c r="C179" s="349"/>
      <c r="D179" s="207" t="s">
        <v>96</v>
      </c>
      <c r="E179" s="40"/>
      <c r="F179" s="213" t="s">
        <v>209</v>
      </c>
      <c r="G179" s="211" t="s">
        <v>206</v>
      </c>
    </row>
    <row r="180" spans="1:7" ht="30" customHeight="1">
      <c r="A180" s="203">
        <f t="shared" si="2"/>
        <v>174</v>
      </c>
      <c r="B180" s="205" t="s">
        <v>310</v>
      </c>
      <c r="C180" s="349" t="s">
        <v>99</v>
      </c>
      <c r="D180" s="350"/>
      <c r="E180" s="90"/>
      <c r="F180" s="208">
        <v>15000000</v>
      </c>
      <c r="G180" s="209" t="s">
        <v>305</v>
      </c>
    </row>
    <row r="181" spans="1:7" ht="30" customHeight="1">
      <c r="A181" s="203">
        <f t="shared" si="2"/>
        <v>175</v>
      </c>
      <c r="B181" s="205" t="s">
        <v>310</v>
      </c>
      <c r="C181" s="352" t="s">
        <v>228</v>
      </c>
      <c r="D181" s="350"/>
      <c r="E181" s="138"/>
      <c r="F181" s="214">
        <v>50</v>
      </c>
      <c r="G181" s="209" t="s">
        <v>229</v>
      </c>
    </row>
    <row r="182" spans="1:7" ht="40.5">
      <c r="A182" s="203">
        <f t="shared" si="2"/>
        <v>176</v>
      </c>
      <c r="B182" s="205" t="s">
        <v>310</v>
      </c>
      <c r="C182" s="349" t="s">
        <v>235</v>
      </c>
      <c r="D182" s="350"/>
      <c r="E182" s="38"/>
      <c r="F182" s="215" t="s">
        <v>240</v>
      </c>
      <c r="G182" s="209" t="s">
        <v>361</v>
      </c>
    </row>
    <row r="183" spans="1:7" ht="30" customHeight="1">
      <c r="A183" s="203">
        <f t="shared" si="2"/>
        <v>177</v>
      </c>
      <c r="B183" s="205" t="s">
        <v>310</v>
      </c>
      <c r="C183" s="349" t="s">
        <v>242</v>
      </c>
      <c r="D183" s="350"/>
      <c r="E183" s="38"/>
      <c r="F183" s="215" t="s">
        <v>241</v>
      </c>
      <c r="G183" s="209" t="s">
        <v>400</v>
      </c>
    </row>
    <row r="184" spans="1:7" ht="30" customHeight="1">
      <c r="A184" s="203">
        <f t="shared" si="2"/>
        <v>178</v>
      </c>
      <c r="B184" s="205" t="s">
        <v>310</v>
      </c>
      <c r="C184" s="349" t="s">
        <v>234</v>
      </c>
      <c r="D184" s="350"/>
      <c r="E184" s="90"/>
      <c r="F184" s="216">
        <v>10000000000</v>
      </c>
      <c r="G184" s="209" t="s">
        <v>306</v>
      </c>
    </row>
    <row r="185" spans="1:7" ht="30" customHeight="1">
      <c r="A185" s="203">
        <f t="shared" si="2"/>
        <v>179</v>
      </c>
      <c r="B185" s="205" t="s">
        <v>310</v>
      </c>
      <c r="C185" s="351" t="s">
        <v>294</v>
      </c>
      <c r="D185" s="206" t="s">
        <v>295</v>
      </c>
      <c r="E185" s="136"/>
      <c r="F185" s="217">
        <v>36617</v>
      </c>
      <c r="G185" s="218" t="s">
        <v>392</v>
      </c>
    </row>
    <row r="186" spans="1:7" ht="30" customHeight="1">
      <c r="A186" s="203">
        <f t="shared" si="2"/>
        <v>180</v>
      </c>
      <c r="B186" s="205" t="s">
        <v>310</v>
      </c>
      <c r="C186" s="349"/>
      <c r="D186" s="206" t="s">
        <v>296</v>
      </c>
      <c r="E186" s="136"/>
      <c r="F186" s="217">
        <v>36617</v>
      </c>
      <c r="G186" s="218" t="s">
        <v>392</v>
      </c>
    </row>
    <row r="187" spans="1:7" ht="30" customHeight="1">
      <c r="A187" s="203">
        <f t="shared" si="2"/>
        <v>181</v>
      </c>
      <c r="B187" s="205" t="s">
        <v>310</v>
      </c>
      <c r="C187" s="349"/>
      <c r="D187" s="206" t="s">
        <v>297</v>
      </c>
      <c r="E187" s="136"/>
      <c r="F187" s="217">
        <v>36617</v>
      </c>
      <c r="G187" s="218" t="s">
        <v>392</v>
      </c>
    </row>
    <row r="188" spans="1:7" ht="30" customHeight="1">
      <c r="A188" s="203">
        <f t="shared" si="2"/>
        <v>182</v>
      </c>
      <c r="B188" s="205" t="s">
        <v>310</v>
      </c>
      <c r="C188" s="349"/>
      <c r="D188" s="206" t="s">
        <v>298</v>
      </c>
      <c r="E188" s="136"/>
      <c r="F188" s="217">
        <v>36617</v>
      </c>
      <c r="G188" s="218" t="s">
        <v>392</v>
      </c>
    </row>
    <row r="189" spans="1:7" ht="30" customHeight="1">
      <c r="A189" s="203">
        <f t="shared" si="2"/>
        <v>183</v>
      </c>
      <c r="B189" s="205" t="s">
        <v>310</v>
      </c>
      <c r="C189" s="351" t="s">
        <v>391</v>
      </c>
      <c r="D189" s="206" t="s">
        <v>299</v>
      </c>
      <c r="E189" s="136"/>
      <c r="F189" s="217">
        <v>36617</v>
      </c>
      <c r="G189" s="218" t="s">
        <v>392</v>
      </c>
    </row>
    <row r="190" spans="1:7" ht="30" customHeight="1">
      <c r="A190" s="203">
        <f t="shared" si="2"/>
        <v>184</v>
      </c>
      <c r="B190" s="205" t="s">
        <v>310</v>
      </c>
      <c r="C190" s="349"/>
      <c r="D190" s="206" t="s">
        <v>300</v>
      </c>
      <c r="E190" s="136"/>
      <c r="F190" s="217">
        <v>36617</v>
      </c>
      <c r="G190" s="218" t="s">
        <v>392</v>
      </c>
    </row>
    <row r="191" spans="1:7" ht="30" customHeight="1">
      <c r="A191" s="203">
        <f t="shared" si="2"/>
        <v>185</v>
      </c>
      <c r="B191" s="205" t="s">
        <v>310</v>
      </c>
      <c r="C191" s="349"/>
      <c r="D191" s="206" t="s">
        <v>301</v>
      </c>
      <c r="E191" s="136"/>
      <c r="F191" s="217">
        <v>36617</v>
      </c>
      <c r="G191" s="218" t="s">
        <v>392</v>
      </c>
    </row>
    <row r="192" spans="1:7" ht="30" customHeight="1">
      <c r="A192" s="203">
        <f t="shared" si="2"/>
        <v>186</v>
      </c>
      <c r="B192" s="205" t="s">
        <v>310</v>
      </c>
      <c r="C192" s="352" t="s">
        <v>302</v>
      </c>
      <c r="D192" s="350"/>
      <c r="E192" s="136"/>
      <c r="F192" s="217">
        <v>36617</v>
      </c>
      <c r="G192" s="218" t="s">
        <v>392</v>
      </c>
    </row>
    <row r="193" spans="1:14" ht="30" customHeight="1">
      <c r="A193" s="203">
        <f t="shared" si="2"/>
        <v>187</v>
      </c>
      <c r="B193" s="205" t="s">
        <v>310</v>
      </c>
      <c r="C193" s="352" t="s">
        <v>303</v>
      </c>
      <c r="D193" s="350"/>
      <c r="E193" s="138"/>
      <c r="F193" s="214">
        <v>2</v>
      </c>
      <c r="G193" s="218" t="s">
        <v>398</v>
      </c>
    </row>
    <row r="194" spans="1:14" ht="30" customHeight="1">
      <c r="A194" s="203">
        <f t="shared" si="2"/>
        <v>188</v>
      </c>
      <c r="B194" s="205" t="s">
        <v>310</v>
      </c>
      <c r="C194" s="352" t="s">
        <v>304</v>
      </c>
      <c r="D194" s="350"/>
      <c r="E194" s="138"/>
      <c r="F194" s="214">
        <v>2</v>
      </c>
      <c r="G194" s="218" t="s">
        <v>399</v>
      </c>
    </row>
    <row r="195" spans="1:14" ht="30" customHeight="1">
      <c r="A195" s="203">
        <f t="shared" si="2"/>
        <v>189</v>
      </c>
      <c r="B195" s="205" t="s">
        <v>310</v>
      </c>
      <c r="C195" s="352" t="s">
        <v>292</v>
      </c>
      <c r="D195" s="350"/>
      <c r="E195" s="38"/>
      <c r="F195" s="215" t="s">
        <v>230</v>
      </c>
      <c r="G195" s="209"/>
    </row>
    <row r="196" spans="1:14" ht="30" customHeight="1">
      <c r="A196" s="219">
        <f t="shared" si="2"/>
        <v>190</v>
      </c>
      <c r="B196" s="220" t="s">
        <v>311</v>
      </c>
      <c r="C196" s="355" t="s">
        <v>213</v>
      </c>
      <c r="D196" s="354"/>
      <c r="E196" s="38" t="s">
        <v>214</v>
      </c>
      <c r="F196" s="228" t="s">
        <v>217</v>
      </c>
      <c r="G196" s="225" t="s">
        <v>402</v>
      </c>
      <c r="L196" s="69"/>
      <c r="M196" s="69"/>
      <c r="N196" s="69"/>
    </row>
    <row r="197" spans="1:14" ht="30" customHeight="1">
      <c r="A197" s="219">
        <f t="shared" si="2"/>
        <v>191</v>
      </c>
      <c r="B197" s="220" t="s">
        <v>311</v>
      </c>
      <c r="C197" s="355" t="s">
        <v>74</v>
      </c>
      <c r="D197" s="221" t="s">
        <v>125</v>
      </c>
      <c r="E197" s="38"/>
      <c r="F197" s="224" t="s">
        <v>75</v>
      </c>
      <c r="G197" s="225" t="s">
        <v>76</v>
      </c>
    </row>
    <row r="198" spans="1:14" ht="30" customHeight="1">
      <c r="A198" s="219">
        <f t="shared" si="2"/>
        <v>192</v>
      </c>
      <c r="B198" s="222" t="s">
        <v>311</v>
      </c>
      <c r="C198" s="355"/>
      <c r="D198" s="223" t="s">
        <v>198</v>
      </c>
      <c r="E198" s="40"/>
      <c r="F198" s="224" t="s">
        <v>199</v>
      </c>
      <c r="G198" s="225" t="s">
        <v>202</v>
      </c>
    </row>
    <row r="199" spans="1:14" ht="40.5">
      <c r="A199" s="219">
        <f t="shared" si="2"/>
        <v>193</v>
      </c>
      <c r="B199" s="222" t="s">
        <v>311</v>
      </c>
      <c r="C199" s="355"/>
      <c r="D199" s="223" t="s">
        <v>227</v>
      </c>
      <c r="E199" s="38"/>
      <c r="F199" s="224" t="s">
        <v>201</v>
      </c>
      <c r="G199" s="225" t="s">
        <v>290</v>
      </c>
    </row>
    <row r="200" spans="1:14" ht="30" customHeight="1">
      <c r="A200" s="219">
        <f t="shared" si="2"/>
        <v>194</v>
      </c>
      <c r="B200" s="222" t="s">
        <v>311</v>
      </c>
      <c r="C200" s="355"/>
      <c r="D200" s="223" t="s">
        <v>77</v>
      </c>
      <c r="E200" s="38"/>
      <c r="F200" s="224" t="s">
        <v>78</v>
      </c>
      <c r="G200" s="225" t="s">
        <v>205</v>
      </c>
    </row>
    <row r="201" spans="1:14" ht="30" customHeight="1">
      <c r="A201" s="219">
        <f t="shared" ref="A201:A264" si="3">ROW()-6</f>
        <v>195</v>
      </c>
      <c r="B201" s="222" t="s">
        <v>311</v>
      </c>
      <c r="C201" s="355"/>
      <c r="D201" s="223" t="s">
        <v>79</v>
      </c>
      <c r="E201" s="38"/>
      <c r="F201" s="224" t="s">
        <v>80</v>
      </c>
      <c r="G201" s="225" t="s">
        <v>204</v>
      </c>
    </row>
    <row r="202" spans="1:14" ht="30" customHeight="1">
      <c r="A202" s="219">
        <f t="shared" si="3"/>
        <v>196</v>
      </c>
      <c r="B202" s="222" t="s">
        <v>311</v>
      </c>
      <c r="C202" s="355"/>
      <c r="D202" s="223" t="s">
        <v>82</v>
      </c>
      <c r="E202" s="38"/>
      <c r="F202" s="224" t="s">
        <v>207</v>
      </c>
      <c r="G202" s="225" t="s">
        <v>84</v>
      </c>
    </row>
    <row r="203" spans="1:14" ht="30" customHeight="1">
      <c r="A203" s="219">
        <f t="shared" si="3"/>
        <v>197</v>
      </c>
      <c r="B203" s="222" t="s">
        <v>311</v>
      </c>
      <c r="C203" s="355"/>
      <c r="D203" s="223" t="s">
        <v>85</v>
      </c>
      <c r="E203" s="38"/>
      <c r="F203" s="224" t="s">
        <v>86</v>
      </c>
      <c r="G203" s="225" t="s">
        <v>203</v>
      </c>
    </row>
    <row r="204" spans="1:14" ht="30" customHeight="1">
      <c r="A204" s="219">
        <f t="shared" si="3"/>
        <v>198</v>
      </c>
      <c r="B204" s="222" t="s">
        <v>311</v>
      </c>
      <c r="C204" s="356" t="s">
        <v>102</v>
      </c>
      <c r="D204" s="223" t="s">
        <v>88</v>
      </c>
      <c r="E204" s="38"/>
      <c r="F204" s="224" t="s">
        <v>89</v>
      </c>
      <c r="G204" s="226" t="s">
        <v>206</v>
      </c>
    </row>
    <row r="205" spans="1:14" ht="30" customHeight="1">
      <c r="A205" s="219">
        <f t="shared" si="3"/>
        <v>199</v>
      </c>
      <c r="B205" s="222" t="s">
        <v>311</v>
      </c>
      <c r="C205" s="355"/>
      <c r="D205" s="223" t="s">
        <v>98</v>
      </c>
      <c r="E205" s="38"/>
      <c r="F205" s="227" t="s">
        <v>91</v>
      </c>
      <c r="G205" s="226" t="s">
        <v>206</v>
      </c>
    </row>
    <row r="206" spans="1:14" ht="30" customHeight="1">
      <c r="A206" s="219">
        <f t="shared" si="3"/>
        <v>200</v>
      </c>
      <c r="B206" s="222" t="s">
        <v>311</v>
      </c>
      <c r="C206" s="355"/>
      <c r="D206" s="223" t="s">
        <v>92</v>
      </c>
      <c r="E206" s="39"/>
      <c r="F206" s="228" t="s">
        <v>208</v>
      </c>
      <c r="G206" s="226" t="s">
        <v>206</v>
      </c>
    </row>
    <row r="207" spans="1:14" ht="30" customHeight="1">
      <c r="A207" s="219">
        <f t="shared" si="3"/>
        <v>201</v>
      </c>
      <c r="B207" s="222" t="s">
        <v>311</v>
      </c>
      <c r="C207" s="355"/>
      <c r="D207" s="223" t="s">
        <v>82</v>
      </c>
      <c r="E207" s="39"/>
      <c r="F207" s="224" t="s">
        <v>207</v>
      </c>
      <c r="G207" s="225" t="s">
        <v>84</v>
      </c>
    </row>
    <row r="208" spans="1:14" ht="30" customHeight="1">
      <c r="A208" s="219">
        <f t="shared" si="3"/>
        <v>202</v>
      </c>
      <c r="B208" s="222" t="s">
        <v>311</v>
      </c>
      <c r="C208" s="355"/>
      <c r="D208" s="223" t="s">
        <v>85</v>
      </c>
      <c r="E208" s="39"/>
      <c r="F208" s="224" t="s">
        <v>86</v>
      </c>
      <c r="G208" s="225" t="s">
        <v>87</v>
      </c>
    </row>
    <row r="209" spans="1:7" ht="30" customHeight="1">
      <c r="A209" s="219">
        <f t="shared" si="3"/>
        <v>203</v>
      </c>
      <c r="B209" s="222" t="s">
        <v>311</v>
      </c>
      <c r="C209" s="355"/>
      <c r="D209" s="223" t="s">
        <v>95</v>
      </c>
      <c r="E209" s="38"/>
      <c r="F209" s="224" t="s">
        <v>233</v>
      </c>
      <c r="G209" s="225" t="s">
        <v>94</v>
      </c>
    </row>
    <row r="210" spans="1:7" ht="30" customHeight="1">
      <c r="A210" s="219">
        <f t="shared" si="3"/>
        <v>204</v>
      </c>
      <c r="B210" s="222" t="s">
        <v>311</v>
      </c>
      <c r="C210" s="355"/>
      <c r="D210" s="223" t="s">
        <v>96</v>
      </c>
      <c r="E210" s="40"/>
      <c r="F210" s="229" t="s">
        <v>209</v>
      </c>
      <c r="G210" s="226" t="s">
        <v>206</v>
      </c>
    </row>
    <row r="211" spans="1:7" ht="30" customHeight="1">
      <c r="A211" s="219">
        <f t="shared" si="3"/>
        <v>205</v>
      </c>
      <c r="B211" s="222" t="s">
        <v>311</v>
      </c>
      <c r="C211" s="355" t="s">
        <v>99</v>
      </c>
      <c r="D211" s="354"/>
      <c r="E211" s="90"/>
      <c r="F211" s="228">
        <v>15000000</v>
      </c>
      <c r="G211" s="225" t="s">
        <v>305</v>
      </c>
    </row>
    <row r="212" spans="1:7" ht="30" customHeight="1">
      <c r="A212" s="219">
        <f t="shared" si="3"/>
        <v>206</v>
      </c>
      <c r="B212" s="222" t="s">
        <v>311</v>
      </c>
      <c r="C212" s="353" t="s">
        <v>228</v>
      </c>
      <c r="D212" s="354"/>
      <c r="E212" s="138"/>
      <c r="F212" s="230">
        <v>50</v>
      </c>
      <c r="G212" s="225" t="s">
        <v>229</v>
      </c>
    </row>
    <row r="213" spans="1:7" ht="40.5">
      <c r="A213" s="219">
        <f t="shared" si="3"/>
        <v>207</v>
      </c>
      <c r="B213" s="222" t="s">
        <v>311</v>
      </c>
      <c r="C213" s="355" t="s">
        <v>235</v>
      </c>
      <c r="D213" s="354"/>
      <c r="E213" s="38"/>
      <c r="F213" s="231" t="s">
        <v>240</v>
      </c>
      <c r="G213" s="225" t="s">
        <v>361</v>
      </c>
    </row>
    <row r="214" spans="1:7" ht="30" customHeight="1">
      <c r="A214" s="219">
        <f t="shared" si="3"/>
        <v>208</v>
      </c>
      <c r="B214" s="222" t="s">
        <v>311</v>
      </c>
      <c r="C214" s="355" t="s">
        <v>242</v>
      </c>
      <c r="D214" s="354"/>
      <c r="E214" s="38"/>
      <c r="F214" s="231" t="s">
        <v>241</v>
      </c>
      <c r="G214" s="225" t="s">
        <v>400</v>
      </c>
    </row>
    <row r="215" spans="1:7" ht="30" customHeight="1">
      <c r="A215" s="219">
        <f t="shared" si="3"/>
        <v>209</v>
      </c>
      <c r="B215" s="222" t="s">
        <v>311</v>
      </c>
      <c r="C215" s="355" t="s">
        <v>234</v>
      </c>
      <c r="D215" s="354"/>
      <c r="E215" s="90"/>
      <c r="F215" s="232">
        <v>10000000000</v>
      </c>
      <c r="G215" s="225" t="s">
        <v>306</v>
      </c>
    </row>
    <row r="216" spans="1:7" ht="30" customHeight="1">
      <c r="A216" s="219">
        <f t="shared" si="3"/>
        <v>210</v>
      </c>
      <c r="B216" s="222" t="s">
        <v>311</v>
      </c>
      <c r="C216" s="356" t="s">
        <v>294</v>
      </c>
      <c r="D216" s="221" t="s">
        <v>295</v>
      </c>
      <c r="E216" s="136"/>
      <c r="F216" s="233">
        <v>36617</v>
      </c>
      <c r="G216" s="234" t="s">
        <v>392</v>
      </c>
    </row>
    <row r="217" spans="1:7" ht="30" customHeight="1">
      <c r="A217" s="219">
        <f t="shared" si="3"/>
        <v>211</v>
      </c>
      <c r="B217" s="222" t="s">
        <v>311</v>
      </c>
      <c r="C217" s="355"/>
      <c r="D217" s="221" t="s">
        <v>296</v>
      </c>
      <c r="E217" s="136"/>
      <c r="F217" s="233">
        <v>36617</v>
      </c>
      <c r="G217" s="234" t="s">
        <v>392</v>
      </c>
    </row>
    <row r="218" spans="1:7" ht="30" customHeight="1">
      <c r="A218" s="219">
        <f t="shared" si="3"/>
        <v>212</v>
      </c>
      <c r="B218" s="222" t="s">
        <v>311</v>
      </c>
      <c r="C218" s="355"/>
      <c r="D218" s="221" t="s">
        <v>297</v>
      </c>
      <c r="E218" s="136"/>
      <c r="F218" s="233">
        <v>36617</v>
      </c>
      <c r="G218" s="234" t="s">
        <v>392</v>
      </c>
    </row>
    <row r="219" spans="1:7" ht="30" customHeight="1">
      <c r="A219" s="219">
        <f t="shared" si="3"/>
        <v>213</v>
      </c>
      <c r="B219" s="222" t="s">
        <v>311</v>
      </c>
      <c r="C219" s="355"/>
      <c r="D219" s="221" t="s">
        <v>298</v>
      </c>
      <c r="E219" s="136"/>
      <c r="F219" s="233">
        <v>36617</v>
      </c>
      <c r="G219" s="234" t="s">
        <v>392</v>
      </c>
    </row>
    <row r="220" spans="1:7" ht="30" customHeight="1">
      <c r="A220" s="219">
        <f t="shared" si="3"/>
        <v>214</v>
      </c>
      <c r="B220" s="222" t="s">
        <v>311</v>
      </c>
      <c r="C220" s="356" t="s">
        <v>391</v>
      </c>
      <c r="D220" s="221" t="s">
        <v>299</v>
      </c>
      <c r="E220" s="136"/>
      <c r="F220" s="233">
        <v>36617</v>
      </c>
      <c r="G220" s="234" t="s">
        <v>392</v>
      </c>
    </row>
    <row r="221" spans="1:7" ht="30" customHeight="1">
      <c r="A221" s="219">
        <f t="shared" si="3"/>
        <v>215</v>
      </c>
      <c r="B221" s="222" t="s">
        <v>311</v>
      </c>
      <c r="C221" s="355"/>
      <c r="D221" s="221" t="s">
        <v>300</v>
      </c>
      <c r="E221" s="136"/>
      <c r="F221" s="233">
        <v>36617</v>
      </c>
      <c r="G221" s="234" t="s">
        <v>392</v>
      </c>
    </row>
    <row r="222" spans="1:7" ht="30" customHeight="1">
      <c r="A222" s="219">
        <f t="shared" si="3"/>
        <v>216</v>
      </c>
      <c r="B222" s="222" t="s">
        <v>311</v>
      </c>
      <c r="C222" s="355"/>
      <c r="D222" s="221" t="s">
        <v>301</v>
      </c>
      <c r="E222" s="136"/>
      <c r="F222" s="233">
        <v>36617</v>
      </c>
      <c r="G222" s="234" t="s">
        <v>392</v>
      </c>
    </row>
    <row r="223" spans="1:7" ht="30" customHeight="1">
      <c r="A223" s="219">
        <f t="shared" si="3"/>
        <v>217</v>
      </c>
      <c r="B223" s="222" t="s">
        <v>311</v>
      </c>
      <c r="C223" s="353" t="s">
        <v>302</v>
      </c>
      <c r="D223" s="354"/>
      <c r="E223" s="136"/>
      <c r="F223" s="233">
        <v>36617</v>
      </c>
      <c r="G223" s="234" t="s">
        <v>392</v>
      </c>
    </row>
    <row r="224" spans="1:7" ht="30" customHeight="1">
      <c r="A224" s="219">
        <f t="shared" si="3"/>
        <v>218</v>
      </c>
      <c r="B224" s="222" t="s">
        <v>311</v>
      </c>
      <c r="C224" s="353" t="s">
        <v>303</v>
      </c>
      <c r="D224" s="354"/>
      <c r="E224" s="138"/>
      <c r="F224" s="230">
        <v>2</v>
      </c>
      <c r="G224" s="234" t="s">
        <v>398</v>
      </c>
    </row>
    <row r="225" spans="1:14" ht="30" customHeight="1">
      <c r="A225" s="219">
        <f t="shared" si="3"/>
        <v>219</v>
      </c>
      <c r="B225" s="222" t="s">
        <v>311</v>
      </c>
      <c r="C225" s="353" t="s">
        <v>304</v>
      </c>
      <c r="D225" s="354"/>
      <c r="E225" s="138"/>
      <c r="F225" s="230">
        <v>2</v>
      </c>
      <c r="G225" s="234" t="s">
        <v>399</v>
      </c>
    </row>
    <row r="226" spans="1:14" ht="30" customHeight="1">
      <c r="A226" s="219">
        <f t="shared" si="3"/>
        <v>220</v>
      </c>
      <c r="B226" s="222" t="s">
        <v>311</v>
      </c>
      <c r="C226" s="353" t="s">
        <v>292</v>
      </c>
      <c r="D226" s="354"/>
      <c r="E226" s="38"/>
      <c r="F226" s="231" t="s">
        <v>230</v>
      </c>
      <c r="G226" s="225"/>
    </row>
    <row r="227" spans="1:14" ht="30" customHeight="1">
      <c r="A227" s="235">
        <f t="shared" si="3"/>
        <v>221</v>
      </c>
      <c r="B227" s="236" t="s">
        <v>312</v>
      </c>
      <c r="C227" s="357" t="s">
        <v>213</v>
      </c>
      <c r="D227" s="358"/>
      <c r="E227" s="38" t="s">
        <v>214</v>
      </c>
      <c r="F227" s="240" t="s">
        <v>217</v>
      </c>
      <c r="G227" s="241" t="s">
        <v>402</v>
      </c>
      <c r="L227" s="69"/>
      <c r="M227" s="69"/>
      <c r="N227" s="69"/>
    </row>
    <row r="228" spans="1:14" ht="30" customHeight="1">
      <c r="A228" s="235">
        <f t="shared" si="3"/>
        <v>222</v>
      </c>
      <c r="B228" s="237" t="s">
        <v>312</v>
      </c>
      <c r="C228" s="357" t="s">
        <v>74</v>
      </c>
      <c r="D228" s="238" t="s">
        <v>125</v>
      </c>
      <c r="E228" s="38"/>
      <c r="F228" s="242" t="s">
        <v>75</v>
      </c>
      <c r="G228" s="241" t="s">
        <v>76</v>
      </c>
    </row>
    <row r="229" spans="1:14" ht="30" customHeight="1">
      <c r="A229" s="235">
        <f t="shared" si="3"/>
        <v>223</v>
      </c>
      <c r="B229" s="237" t="s">
        <v>312</v>
      </c>
      <c r="C229" s="357"/>
      <c r="D229" s="239" t="s">
        <v>198</v>
      </c>
      <c r="E229" s="40"/>
      <c r="F229" s="242" t="s">
        <v>199</v>
      </c>
      <c r="G229" s="241" t="s">
        <v>202</v>
      </c>
    </row>
    <row r="230" spans="1:14" ht="40.5">
      <c r="A230" s="235">
        <f t="shared" si="3"/>
        <v>224</v>
      </c>
      <c r="B230" s="237" t="s">
        <v>312</v>
      </c>
      <c r="C230" s="357"/>
      <c r="D230" s="239" t="s">
        <v>227</v>
      </c>
      <c r="E230" s="38"/>
      <c r="F230" s="242" t="s">
        <v>201</v>
      </c>
      <c r="G230" s="241" t="s">
        <v>290</v>
      </c>
    </row>
    <row r="231" spans="1:14" ht="30" customHeight="1">
      <c r="A231" s="235">
        <f t="shared" si="3"/>
        <v>225</v>
      </c>
      <c r="B231" s="237" t="s">
        <v>312</v>
      </c>
      <c r="C231" s="357"/>
      <c r="D231" s="239" t="s">
        <v>77</v>
      </c>
      <c r="E231" s="38"/>
      <c r="F231" s="242" t="s">
        <v>78</v>
      </c>
      <c r="G231" s="241" t="s">
        <v>205</v>
      </c>
    </row>
    <row r="232" spans="1:14" ht="30" customHeight="1">
      <c r="A232" s="235">
        <f t="shared" si="3"/>
        <v>226</v>
      </c>
      <c r="B232" s="237" t="s">
        <v>312</v>
      </c>
      <c r="C232" s="357"/>
      <c r="D232" s="239" t="s">
        <v>79</v>
      </c>
      <c r="E232" s="38"/>
      <c r="F232" s="242" t="s">
        <v>80</v>
      </c>
      <c r="G232" s="241" t="s">
        <v>204</v>
      </c>
    </row>
    <row r="233" spans="1:14" ht="30" customHeight="1">
      <c r="A233" s="235">
        <f t="shared" si="3"/>
        <v>227</v>
      </c>
      <c r="B233" s="237" t="s">
        <v>312</v>
      </c>
      <c r="C233" s="357"/>
      <c r="D233" s="239" t="s">
        <v>82</v>
      </c>
      <c r="E233" s="38"/>
      <c r="F233" s="242" t="s">
        <v>207</v>
      </c>
      <c r="G233" s="241" t="s">
        <v>84</v>
      </c>
    </row>
    <row r="234" spans="1:14" ht="30" customHeight="1">
      <c r="A234" s="235">
        <f t="shared" si="3"/>
        <v>228</v>
      </c>
      <c r="B234" s="237" t="s">
        <v>312</v>
      </c>
      <c r="C234" s="357"/>
      <c r="D234" s="239" t="s">
        <v>85</v>
      </c>
      <c r="E234" s="38"/>
      <c r="F234" s="242" t="s">
        <v>86</v>
      </c>
      <c r="G234" s="241" t="s">
        <v>203</v>
      </c>
    </row>
    <row r="235" spans="1:14" ht="30" customHeight="1">
      <c r="A235" s="235">
        <f t="shared" si="3"/>
        <v>229</v>
      </c>
      <c r="B235" s="237" t="s">
        <v>312</v>
      </c>
      <c r="C235" s="359" t="s">
        <v>102</v>
      </c>
      <c r="D235" s="239" t="s">
        <v>88</v>
      </c>
      <c r="E235" s="38"/>
      <c r="F235" s="242" t="s">
        <v>89</v>
      </c>
      <c r="G235" s="243" t="s">
        <v>206</v>
      </c>
    </row>
    <row r="236" spans="1:14" ht="30" customHeight="1">
      <c r="A236" s="235">
        <f t="shared" si="3"/>
        <v>230</v>
      </c>
      <c r="B236" s="237" t="s">
        <v>312</v>
      </c>
      <c r="C236" s="357"/>
      <c r="D236" s="239" t="s">
        <v>98</v>
      </c>
      <c r="E236" s="38"/>
      <c r="F236" s="244" t="s">
        <v>91</v>
      </c>
      <c r="G236" s="243" t="s">
        <v>206</v>
      </c>
    </row>
    <row r="237" spans="1:14" ht="30" customHeight="1">
      <c r="A237" s="235">
        <f t="shared" si="3"/>
        <v>231</v>
      </c>
      <c r="B237" s="237" t="s">
        <v>312</v>
      </c>
      <c r="C237" s="357"/>
      <c r="D237" s="239" t="s">
        <v>92</v>
      </c>
      <c r="E237" s="39"/>
      <c r="F237" s="240" t="s">
        <v>208</v>
      </c>
      <c r="G237" s="243" t="s">
        <v>206</v>
      </c>
    </row>
    <row r="238" spans="1:14" ht="30" customHeight="1">
      <c r="A238" s="235">
        <f t="shared" si="3"/>
        <v>232</v>
      </c>
      <c r="B238" s="237" t="s">
        <v>312</v>
      </c>
      <c r="C238" s="357"/>
      <c r="D238" s="239" t="s">
        <v>82</v>
      </c>
      <c r="E238" s="39"/>
      <c r="F238" s="242" t="s">
        <v>207</v>
      </c>
      <c r="G238" s="241" t="s">
        <v>84</v>
      </c>
    </row>
    <row r="239" spans="1:14" ht="30" customHeight="1">
      <c r="A239" s="235">
        <f t="shared" si="3"/>
        <v>233</v>
      </c>
      <c r="B239" s="237" t="s">
        <v>312</v>
      </c>
      <c r="C239" s="357"/>
      <c r="D239" s="239" t="s">
        <v>85</v>
      </c>
      <c r="E239" s="39"/>
      <c r="F239" s="242" t="s">
        <v>86</v>
      </c>
      <c r="G239" s="241" t="s">
        <v>87</v>
      </c>
    </row>
    <row r="240" spans="1:14" ht="30" customHeight="1">
      <c r="A240" s="235">
        <f t="shared" si="3"/>
        <v>234</v>
      </c>
      <c r="B240" s="237" t="s">
        <v>312</v>
      </c>
      <c r="C240" s="357"/>
      <c r="D240" s="239" t="s">
        <v>95</v>
      </c>
      <c r="E240" s="38"/>
      <c r="F240" s="242" t="s">
        <v>233</v>
      </c>
      <c r="G240" s="241" t="s">
        <v>94</v>
      </c>
    </row>
    <row r="241" spans="1:7" ht="30" customHeight="1">
      <c r="A241" s="235">
        <f t="shared" si="3"/>
        <v>235</v>
      </c>
      <c r="B241" s="237" t="s">
        <v>312</v>
      </c>
      <c r="C241" s="357"/>
      <c r="D241" s="239" t="s">
        <v>96</v>
      </c>
      <c r="E241" s="40"/>
      <c r="F241" s="245" t="s">
        <v>209</v>
      </c>
      <c r="G241" s="243" t="s">
        <v>206</v>
      </c>
    </row>
    <row r="242" spans="1:7" ht="30" customHeight="1">
      <c r="A242" s="235">
        <f t="shared" si="3"/>
        <v>236</v>
      </c>
      <c r="B242" s="237" t="s">
        <v>312</v>
      </c>
      <c r="C242" s="357" t="s">
        <v>99</v>
      </c>
      <c r="D242" s="358"/>
      <c r="E242" s="90"/>
      <c r="F242" s="240">
        <v>15000000</v>
      </c>
      <c r="G242" s="241" t="s">
        <v>305</v>
      </c>
    </row>
    <row r="243" spans="1:7" ht="30" customHeight="1">
      <c r="A243" s="235">
        <f t="shared" si="3"/>
        <v>237</v>
      </c>
      <c r="B243" s="237" t="s">
        <v>312</v>
      </c>
      <c r="C243" s="360" t="s">
        <v>228</v>
      </c>
      <c r="D243" s="358"/>
      <c r="E243" s="138"/>
      <c r="F243" s="246">
        <v>50</v>
      </c>
      <c r="G243" s="241" t="s">
        <v>229</v>
      </c>
    </row>
    <row r="244" spans="1:7" ht="40.5">
      <c r="A244" s="235">
        <f t="shared" si="3"/>
        <v>238</v>
      </c>
      <c r="B244" s="237" t="s">
        <v>312</v>
      </c>
      <c r="C244" s="357" t="s">
        <v>235</v>
      </c>
      <c r="D244" s="358"/>
      <c r="E244" s="38"/>
      <c r="F244" s="247" t="s">
        <v>240</v>
      </c>
      <c r="G244" s="241" t="s">
        <v>361</v>
      </c>
    </row>
    <row r="245" spans="1:7" ht="30" customHeight="1">
      <c r="A245" s="235">
        <f t="shared" si="3"/>
        <v>239</v>
      </c>
      <c r="B245" s="237" t="s">
        <v>312</v>
      </c>
      <c r="C245" s="357" t="s">
        <v>242</v>
      </c>
      <c r="D245" s="358"/>
      <c r="E245" s="38"/>
      <c r="F245" s="247" t="s">
        <v>241</v>
      </c>
      <c r="G245" s="241" t="s">
        <v>400</v>
      </c>
    </row>
    <row r="246" spans="1:7" ht="30" customHeight="1">
      <c r="A246" s="235">
        <f t="shared" si="3"/>
        <v>240</v>
      </c>
      <c r="B246" s="237" t="s">
        <v>312</v>
      </c>
      <c r="C246" s="357" t="s">
        <v>234</v>
      </c>
      <c r="D246" s="358"/>
      <c r="E246" s="90"/>
      <c r="F246" s="248">
        <v>10000000000</v>
      </c>
      <c r="G246" s="241" t="s">
        <v>306</v>
      </c>
    </row>
    <row r="247" spans="1:7" ht="30" customHeight="1">
      <c r="A247" s="235">
        <f t="shared" si="3"/>
        <v>241</v>
      </c>
      <c r="B247" s="237" t="s">
        <v>312</v>
      </c>
      <c r="C247" s="359" t="s">
        <v>294</v>
      </c>
      <c r="D247" s="238" t="s">
        <v>295</v>
      </c>
      <c r="E247" s="136"/>
      <c r="F247" s="249">
        <v>36617</v>
      </c>
      <c r="G247" s="250" t="s">
        <v>392</v>
      </c>
    </row>
    <row r="248" spans="1:7" ht="30" customHeight="1">
      <c r="A248" s="235">
        <f t="shared" si="3"/>
        <v>242</v>
      </c>
      <c r="B248" s="237" t="s">
        <v>312</v>
      </c>
      <c r="C248" s="357"/>
      <c r="D248" s="238" t="s">
        <v>296</v>
      </c>
      <c r="E248" s="136"/>
      <c r="F248" s="249">
        <v>36617</v>
      </c>
      <c r="G248" s="250" t="s">
        <v>392</v>
      </c>
    </row>
    <row r="249" spans="1:7" ht="30" customHeight="1">
      <c r="A249" s="235">
        <f t="shared" si="3"/>
        <v>243</v>
      </c>
      <c r="B249" s="237" t="s">
        <v>312</v>
      </c>
      <c r="C249" s="357"/>
      <c r="D249" s="238" t="s">
        <v>297</v>
      </c>
      <c r="E249" s="136"/>
      <c r="F249" s="249">
        <v>36617</v>
      </c>
      <c r="G249" s="250" t="s">
        <v>392</v>
      </c>
    </row>
    <row r="250" spans="1:7" ht="30" customHeight="1">
      <c r="A250" s="235">
        <f t="shared" si="3"/>
        <v>244</v>
      </c>
      <c r="B250" s="237" t="s">
        <v>312</v>
      </c>
      <c r="C250" s="357"/>
      <c r="D250" s="238" t="s">
        <v>298</v>
      </c>
      <c r="E250" s="136"/>
      <c r="F250" s="249">
        <v>36617</v>
      </c>
      <c r="G250" s="250" t="s">
        <v>392</v>
      </c>
    </row>
    <row r="251" spans="1:7" ht="30" customHeight="1">
      <c r="A251" s="235">
        <f t="shared" si="3"/>
        <v>245</v>
      </c>
      <c r="B251" s="237" t="s">
        <v>312</v>
      </c>
      <c r="C251" s="359" t="s">
        <v>391</v>
      </c>
      <c r="D251" s="238" t="s">
        <v>299</v>
      </c>
      <c r="E251" s="136"/>
      <c r="F251" s="249">
        <v>36617</v>
      </c>
      <c r="G251" s="250" t="s">
        <v>392</v>
      </c>
    </row>
    <row r="252" spans="1:7" ht="30" customHeight="1">
      <c r="A252" s="235">
        <f t="shared" si="3"/>
        <v>246</v>
      </c>
      <c r="B252" s="237" t="s">
        <v>312</v>
      </c>
      <c r="C252" s="357"/>
      <c r="D252" s="238" t="s">
        <v>300</v>
      </c>
      <c r="E252" s="136"/>
      <c r="F252" s="249">
        <v>36617</v>
      </c>
      <c r="G252" s="250" t="s">
        <v>392</v>
      </c>
    </row>
    <row r="253" spans="1:7" ht="30" customHeight="1">
      <c r="A253" s="235">
        <f t="shared" si="3"/>
        <v>247</v>
      </c>
      <c r="B253" s="237" t="s">
        <v>312</v>
      </c>
      <c r="C253" s="357"/>
      <c r="D253" s="238" t="s">
        <v>301</v>
      </c>
      <c r="E253" s="136"/>
      <c r="F253" s="249">
        <v>36617</v>
      </c>
      <c r="G253" s="250" t="s">
        <v>392</v>
      </c>
    </row>
    <row r="254" spans="1:7" ht="30" customHeight="1">
      <c r="A254" s="235">
        <f t="shared" si="3"/>
        <v>248</v>
      </c>
      <c r="B254" s="237" t="s">
        <v>312</v>
      </c>
      <c r="C254" s="360" t="s">
        <v>302</v>
      </c>
      <c r="D254" s="358"/>
      <c r="E254" s="136"/>
      <c r="F254" s="249">
        <v>36617</v>
      </c>
      <c r="G254" s="250" t="s">
        <v>392</v>
      </c>
    </row>
    <row r="255" spans="1:7" ht="30" customHeight="1">
      <c r="A255" s="235">
        <f t="shared" si="3"/>
        <v>249</v>
      </c>
      <c r="B255" s="237" t="s">
        <v>312</v>
      </c>
      <c r="C255" s="360" t="s">
        <v>303</v>
      </c>
      <c r="D255" s="358"/>
      <c r="E255" s="138"/>
      <c r="F255" s="246">
        <v>2</v>
      </c>
      <c r="G255" s="250" t="s">
        <v>398</v>
      </c>
    </row>
    <row r="256" spans="1:7" ht="30" customHeight="1">
      <c r="A256" s="235">
        <f t="shared" si="3"/>
        <v>250</v>
      </c>
      <c r="B256" s="237" t="s">
        <v>312</v>
      </c>
      <c r="C256" s="360" t="s">
        <v>304</v>
      </c>
      <c r="D256" s="358"/>
      <c r="E256" s="138"/>
      <c r="F256" s="246">
        <v>2</v>
      </c>
      <c r="G256" s="250" t="s">
        <v>399</v>
      </c>
    </row>
    <row r="257" spans="1:14" ht="30" customHeight="1">
      <c r="A257" s="235">
        <f t="shared" si="3"/>
        <v>251</v>
      </c>
      <c r="B257" s="237" t="s">
        <v>312</v>
      </c>
      <c r="C257" s="360" t="s">
        <v>292</v>
      </c>
      <c r="D257" s="358"/>
      <c r="E257" s="38"/>
      <c r="F257" s="247" t="s">
        <v>230</v>
      </c>
      <c r="G257" s="241"/>
    </row>
    <row r="258" spans="1:14" ht="30" customHeight="1">
      <c r="A258" s="255">
        <f t="shared" si="3"/>
        <v>252</v>
      </c>
      <c r="B258" s="256" t="s">
        <v>313</v>
      </c>
      <c r="C258" s="361" t="s">
        <v>213</v>
      </c>
      <c r="D258" s="362"/>
      <c r="E258" s="38" t="s">
        <v>214</v>
      </c>
      <c r="F258" s="260" t="s">
        <v>217</v>
      </c>
      <c r="G258" s="261" t="s">
        <v>402</v>
      </c>
      <c r="L258" s="69"/>
      <c r="M258" s="69"/>
      <c r="N258" s="69"/>
    </row>
    <row r="259" spans="1:14" ht="30" customHeight="1">
      <c r="A259" s="255">
        <f t="shared" si="3"/>
        <v>253</v>
      </c>
      <c r="B259" s="256" t="s">
        <v>313</v>
      </c>
      <c r="C259" s="361" t="s">
        <v>74</v>
      </c>
      <c r="D259" s="257" t="s">
        <v>125</v>
      </c>
      <c r="E259" s="38"/>
      <c r="F259" s="262" t="s">
        <v>75</v>
      </c>
      <c r="G259" s="261" t="s">
        <v>76</v>
      </c>
    </row>
    <row r="260" spans="1:14" ht="30" customHeight="1">
      <c r="A260" s="255">
        <f t="shared" si="3"/>
        <v>254</v>
      </c>
      <c r="B260" s="258" t="s">
        <v>313</v>
      </c>
      <c r="C260" s="361"/>
      <c r="D260" s="259" t="s">
        <v>198</v>
      </c>
      <c r="E260" s="40"/>
      <c r="F260" s="262" t="s">
        <v>199</v>
      </c>
      <c r="G260" s="261" t="s">
        <v>202</v>
      </c>
    </row>
    <row r="261" spans="1:14" ht="40.5">
      <c r="A261" s="255">
        <f t="shared" si="3"/>
        <v>255</v>
      </c>
      <c r="B261" s="258" t="s">
        <v>313</v>
      </c>
      <c r="C261" s="361"/>
      <c r="D261" s="259" t="s">
        <v>227</v>
      </c>
      <c r="E261" s="38"/>
      <c r="F261" s="262" t="s">
        <v>201</v>
      </c>
      <c r="G261" s="261" t="s">
        <v>290</v>
      </c>
    </row>
    <row r="262" spans="1:14" ht="30" customHeight="1">
      <c r="A262" s="255">
        <f t="shared" si="3"/>
        <v>256</v>
      </c>
      <c r="B262" s="258" t="s">
        <v>313</v>
      </c>
      <c r="C262" s="361"/>
      <c r="D262" s="259" t="s">
        <v>77</v>
      </c>
      <c r="E262" s="38"/>
      <c r="F262" s="262" t="s">
        <v>78</v>
      </c>
      <c r="G262" s="261" t="s">
        <v>205</v>
      </c>
    </row>
    <row r="263" spans="1:14" ht="30" customHeight="1">
      <c r="A263" s="255">
        <f t="shared" si="3"/>
        <v>257</v>
      </c>
      <c r="B263" s="258" t="s">
        <v>313</v>
      </c>
      <c r="C263" s="361"/>
      <c r="D263" s="259" t="s">
        <v>79</v>
      </c>
      <c r="E263" s="38"/>
      <c r="F263" s="262" t="s">
        <v>80</v>
      </c>
      <c r="G263" s="261" t="s">
        <v>204</v>
      </c>
    </row>
    <row r="264" spans="1:14" ht="30" customHeight="1">
      <c r="A264" s="255">
        <f t="shared" si="3"/>
        <v>258</v>
      </c>
      <c r="B264" s="258" t="s">
        <v>313</v>
      </c>
      <c r="C264" s="361"/>
      <c r="D264" s="259" t="s">
        <v>82</v>
      </c>
      <c r="E264" s="38"/>
      <c r="F264" s="262" t="s">
        <v>207</v>
      </c>
      <c r="G264" s="261" t="s">
        <v>84</v>
      </c>
    </row>
    <row r="265" spans="1:14" ht="30" customHeight="1">
      <c r="A265" s="255">
        <f t="shared" ref="A265:A328" si="4">ROW()-6</f>
        <v>259</v>
      </c>
      <c r="B265" s="258" t="s">
        <v>313</v>
      </c>
      <c r="C265" s="361"/>
      <c r="D265" s="259" t="s">
        <v>85</v>
      </c>
      <c r="E265" s="38"/>
      <c r="F265" s="262" t="s">
        <v>86</v>
      </c>
      <c r="G265" s="261" t="s">
        <v>203</v>
      </c>
    </row>
    <row r="266" spans="1:14" ht="30" customHeight="1">
      <c r="A266" s="255">
        <f t="shared" si="4"/>
        <v>260</v>
      </c>
      <c r="B266" s="258" t="s">
        <v>313</v>
      </c>
      <c r="C266" s="363" t="s">
        <v>102</v>
      </c>
      <c r="D266" s="259" t="s">
        <v>88</v>
      </c>
      <c r="E266" s="38"/>
      <c r="F266" s="262" t="s">
        <v>89</v>
      </c>
      <c r="G266" s="263" t="s">
        <v>206</v>
      </c>
    </row>
    <row r="267" spans="1:14" ht="30" customHeight="1">
      <c r="A267" s="255">
        <f t="shared" si="4"/>
        <v>261</v>
      </c>
      <c r="B267" s="258" t="s">
        <v>313</v>
      </c>
      <c r="C267" s="361"/>
      <c r="D267" s="259" t="s">
        <v>98</v>
      </c>
      <c r="E267" s="38"/>
      <c r="F267" s="264" t="s">
        <v>91</v>
      </c>
      <c r="G267" s="263" t="s">
        <v>206</v>
      </c>
    </row>
    <row r="268" spans="1:14" ht="30" customHeight="1">
      <c r="A268" s="255">
        <f t="shared" si="4"/>
        <v>262</v>
      </c>
      <c r="B268" s="258" t="s">
        <v>313</v>
      </c>
      <c r="C268" s="361"/>
      <c r="D268" s="259" t="s">
        <v>92</v>
      </c>
      <c r="E268" s="39"/>
      <c r="F268" s="260" t="s">
        <v>208</v>
      </c>
      <c r="G268" s="263" t="s">
        <v>206</v>
      </c>
    </row>
    <row r="269" spans="1:14" ht="30" customHeight="1">
      <c r="A269" s="255">
        <f t="shared" si="4"/>
        <v>263</v>
      </c>
      <c r="B269" s="258" t="s">
        <v>313</v>
      </c>
      <c r="C269" s="361"/>
      <c r="D269" s="259" t="s">
        <v>82</v>
      </c>
      <c r="E269" s="39"/>
      <c r="F269" s="262" t="s">
        <v>207</v>
      </c>
      <c r="G269" s="261" t="s">
        <v>84</v>
      </c>
    </row>
    <row r="270" spans="1:14" ht="30" customHeight="1">
      <c r="A270" s="255">
        <f t="shared" si="4"/>
        <v>264</v>
      </c>
      <c r="B270" s="258" t="s">
        <v>313</v>
      </c>
      <c r="C270" s="361"/>
      <c r="D270" s="259" t="s">
        <v>85</v>
      </c>
      <c r="E270" s="39"/>
      <c r="F270" s="262" t="s">
        <v>86</v>
      </c>
      <c r="G270" s="261" t="s">
        <v>87</v>
      </c>
    </row>
    <row r="271" spans="1:14" ht="30" customHeight="1">
      <c r="A271" s="255">
        <f t="shared" si="4"/>
        <v>265</v>
      </c>
      <c r="B271" s="258" t="s">
        <v>313</v>
      </c>
      <c r="C271" s="361"/>
      <c r="D271" s="259" t="s">
        <v>95</v>
      </c>
      <c r="E271" s="38"/>
      <c r="F271" s="262" t="s">
        <v>233</v>
      </c>
      <c r="G271" s="261" t="s">
        <v>94</v>
      </c>
    </row>
    <row r="272" spans="1:14" ht="30" customHeight="1">
      <c r="A272" s="255">
        <f t="shared" si="4"/>
        <v>266</v>
      </c>
      <c r="B272" s="258" t="s">
        <v>313</v>
      </c>
      <c r="C272" s="361"/>
      <c r="D272" s="259" t="s">
        <v>96</v>
      </c>
      <c r="E272" s="40"/>
      <c r="F272" s="265" t="s">
        <v>209</v>
      </c>
      <c r="G272" s="263" t="s">
        <v>206</v>
      </c>
    </row>
    <row r="273" spans="1:7" ht="30" customHeight="1">
      <c r="A273" s="255">
        <f t="shared" si="4"/>
        <v>267</v>
      </c>
      <c r="B273" s="258" t="s">
        <v>313</v>
      </c>
      <c r="C273" s="361" t="s">
        <v>99</v>
      </c>
      <c r="D273" s="362"/>
      <c r="E273" s="90"/>
      <c r="F273" s="260">
        <v>15000000</v>
      </c>
      <c r="G273" s="261" t="s">
        <v>305</v>
      </c>
    </row>
    <row r="274" spans="1:7" ht="30" customHeight="1">
      <c r="A274" s="255">
        <f t="shared" si="4"/>
        <v>268</v>
      </c>
      <c r="B274" s="258" t="s">
        <v>313</v>
      </c>
      <c r="C274" s="364" t="s">
        <v>228</v>
      </c>
      <c r="D274" s="362"/>
      <c r="E274" s="138"/>
      <c r="F274" s="266">
        <v>50</v>
      </c>
      <c r="G274" s="261" t="s">
        <v>229</v>
      </c>
    </row>
    <row r="275" spans="1:7" ht="40.5">
      <c r="A275" s="255">
        <f t="shared" si="4"/>
        <v>269</v>
      </c>
      <c r="B275" s="258" t="s">
        <v>313</v>
      </c>
      <c r="C275" s="361" t="s">
        <v>235</v>
      </c>
      <c r="D275" s="362"/>
      <c r="E275" s="38"/>
      <c r="F275" s="267" t="s">
        <v>240</v>
      </c>
      <c r="G275" s="261" t="s">
        <v>361</v>
      </c>
    </row>
    <row r="276" spans="1:7" ht="30" customHeight="1">
      <c r="A276" s="255">
        <f t="shared" si="4"/>
        <v>270</v>
      </c>
      <c r="B276" s="258" t="s">
        <v>313</v>
      </c>
      <c r="C276" s="361" t="s">
        <v>242</v>
      </c>
      <c r="D276" s="362"/>
      <c r="E276" s="38"/>
      <c r="F276" s="267" t="s">
        <v>241</v>
      </c>
      <c r="G276" s="261" t="s">
        <v>400</v>
      </c>
    </row>
    <row r="277" spans="1:7" ht="30" customHeight="1">
      <c r="A277" s="255">
        <f t="shared" si="4"/>
        <v>271</v>
      </c>
      <c r="B277" s="258" t="s">
        <v>313</v>
      </c>
      <c r="C277" s="361" t="s">
        <v>234</v>
      </c>
      <c r="D277" s="362"/>
      <c r="E277" s="90"/>
      <c r="F277" s="268">
        <v>10000000000</v>
      </c>
      <c r="G277" s="261" t="s">
        <v>306</v>
      </c>
    </row>
    <row r="278" spans="1:7" ht="30" customHeight="1">
      <c r="A278" s="255">
        <f t="shared" si="4"/>
        <v>272</v>
      </c>
      <c r="B278" s="258" t="s">
        <v>313</v>
      </c>
      <c r="C278" s="363" t="s">
        <v>294</v>
      </c>
      <c r="D278" s="257" t="s">
        <v>295</v>
      </c>
      <c r="E278" s="136"/>
      <c r="F278" s="269">
        <v>36617</v>
      </c>
      <c r="G278" s="270" t="s">
        <v>392</v>
      </c>
    </row>
    <row r="279" spans="1:7" ht="30" customHeight="1">
      <c r="A279" s="255">
        <f t="shared" si="4"/>
        <v>273</v>
      </c>
      <c r="B279" s="258" t="s">
        <v>313</v>
      </c>
      <c r="C279" s="361"/>
      <c r="D279" s="257" t="s">
        <v>296</v>
      </c>
      <c r="E279" s="136"/>
      <c r="F279" s="269">
        <v>36617</v>
      </c>
      <c r="G279" s="270" t="s">
        <v>392</v>
      </c>
    </row>
    <row r="280" spans="1:7" ht="30" customHeight="1">
      <c r="A280" s="255">
        <f t="shared" si="4"/>
        <v>274</v>
      </c>
      <c r="B280" s="258" t="s">
        <v>313</v>
      </c>
      <c r="C280" s="361"/>
      <c r="D280" s="257" t="s">
        <v>297</v>
      </c>
      <c r="E280" s="136"/>
      <c r="F280" s="269">
        <v>36617</v>
      </c>
      <c r="G280" s="270" t="s">
        <v>392</v>
      </c>
    </row>
    <row r="281" spans="1:7" ht="30" customHeight="1">
      <c r="A281" s="255">
        <f t="shared" si="4"/>
        <v>275</v>
      </c>
      <c r="B281" s="258" t="s">
        <v>313</v>
      </c>
      <c r="C281" s="361"/>
      <c r="D281" s="257" t="s">
        <v>298</v>
      </c>
      <c r="E281" s="136"/>
      <c r="F281" s="269">
        <v>36617</v>
      </c>
      <c r="G281" s="270" t="s">
        <v>392</v>
      </c>
    </row>
    <row r="282" spans="1:7" ht="30" customHeight="1">
      <c r="A282" s="255">
        <f t="shared" si="4"/>
        <v>276</v>
      </c>
      <c r="B282" s="258" t="s">
        <v>313</v>
      </c>
      <c r="C282" s="363" t="s">
        <v>391</v>
      </c>
      <c r="D282" s="257" t="s">
        <v>299</v>
      </c>
      <c r="E282" s="136"/>
      <c r="F282" s="269">
        <v>36617</v>
      </c>
      <c r="G282" s="270" t="s">
        <v>392</v>
      </c>
    </row>
    <row r="283" spans="1:7" ht="30" customHeight="1">
      <c r="A283" s="255">
        <f t="shared" si="4"/>
        <v>277</v>
      </c>
      <c r="B283" s="258" t="s">
        <v>313</v>
      </c>
      <c r="C283" s="361"/>
      <c r="D283" s="257" t="s">
        <v>300</v>
      </c>
      <c r="E283" s="136"/>
      <c r="F283" s="269">
        <v>36617</v>
      </c>
      <c r="G283" s="270" t="s">
        <v>392</v>
      </c>
    </row>
    <row r="284" spans="1:7" ht="30" customHeight="1">
      <c r="A284" s="255">
        <f t="shared" si="4"/>
        <v>278</v>
      </c>
      <c r="B284" s="258" t="s">
        <v>313</v>
      </c>
      <c r="C284" s="361"/>
      <c r="D284" s="257" t="s">
        <v>301</v>
      </c>
      <c r="E284" s="136"/>
      <c r="F284" s="269">
        <v>36617</v>
      </c>
      <c r="G284" s="270" t="s">
        <v>392</v>
      </c>
    </row>
    <row r="285" spans="1:7" ht="30" customHeight="1">
      <c r="A285" s="255">
        <f t="shared" si="4"/>
        <v>279</v>
      </c>
      <c r="B285" s="258" t="s">
        <v>313</v>
      </c>
      <c r="C285" s="364" t="s">
        <v>302</v>
      </c>
      <c r="D285" s="362"/>
      <c r="E285" s="136"/>
      <c r="F285" s="269">
        <v>36617</v>
      </c>
      <c r="G285" s="270" t="s">
        <v>392</v>
      </c>
    </row>
    <row r="286" spans="1:7" ht="30" customHeight="1">
      <c r="A286" s="255">
        <f t="shared" si="4"/>
        <v>280</v>
      </c>
      <c r="B286" s="258" t="s">
        <v>313</v>
      </c>
      <c r="C286" s="364" t="s">
        <v>303</v>
      </c>
      <c r="D286" s="362"/>
      <c r="E286" s="138"/>
      <c r="F286" s="266">
        <v>2</v>
      </c>
      <c r="G286" s="270" t="s">
        <v>398</v>
      </c>
    </row>
    <row r="287" spans="1:7" ht="30" customHeight="1">
      <c r="A287" s="255">
        <f t="shared" si="4"/>
        <v>281</v>
      </c>
      <c r="B287" s="258" t="s">
        <v>313</v>
      </c>
      <c r="C287" s="364" t="s">
        <v>304</v>
      </c>
      <c r="D287" s="362"/>
      <c r="E287" s="138"/>
      <c r="F287" s="266">
        <v>2</v>
      </c>
      <c r="G287" s="270" t="s">
        <v>399</v>
      </c>
    </row>
    <row r="288" spans="1:7" ht="30" customHeight="1">
      <c r="A288" s="255">
        <f t="shared" si="4"/>
        <v>282</v>
      </c>
      <c r="B288" s="258" t="s">
        <v>313</v>
      </c>
      <c r="C288" s="364" t="s">
        <v>292</v>
      </c>
      <c r="D288" s="362"/>
      <c r="E288" s="38"/>
      <c r="F288" s="267" t="s">
        <v>230</v>
      </c>
      <c r="G288" s="261"/>
    </row>
    <row r="289" spans="1:14" ht="30" customHeight="1">
      <c r="A289" s="140">
        <f t="shared" si="4"/>
        <v>283</v>
      </c>
      <c r="B289" s="271" t="s">
        <v>314</v>
      </c>
      <c r="C289" s="366" t="s">
        <v>213</v>
      </c>
      <c r="D289" s="367"/>
      <c r="E289" s="38" t="s">
        <v>214</v>
      </c>
      <c r="F289" s="148" t="s">
        <v>217</v>
      </c>
      <c r="G289" s="145" t="s">
        <v>402</v>
      </c>
      <c r="L289" s="69"/>
      <c r="M289" s="69"/>
      <c r="N289" s="69"/>
    </row>
    <row r="290" spans="1:14" ht="30" customHeight="1">
      <c r="A290" s="140">
        <f t="shared" si="4"/>
        <v>284</v>
      </c>
      <c r="B290" s="141" t="s">
        <v>314</v>
      </c>
      <c r="C290" s="366" t="s">
        <v>74</v>
      </c>
      <c r="D290" s="142" t="s">
        <v>125</v>
      </c>
      <c r="E290" s="38"/>
      <c r="F290" s="144" t="s">
        <v>75</v>
      </c>
      <c r="G290" s="145" t="s">
        <v>76</v>
      </c>
    </row>
    <row r="291" spans="1:14" ht="30" customHeight="1">
      <c r="A291" s="140">
        <f t="shared" si="4"/>
        <v>285</v>
      </c>
      <c r="B291" s="141" t="s">
        <v>314</v>
      </c>
      <c r="C291" s="366"/>
      <c r="D291" s="143" t="s">
        <v>198</v>
      </c>
      <c r="E291" s="40"/>
      <c r="F291" s="144" t="s">
        <v>199</v>
      </c>
      <c r="G291" s="145" t="s">
        <v>202</v>
      </c>
    </row>
    <row r="292" spans="1:14" ht="40.5">
      <c r="A292" s="140">
        <f t="shared" si="4"/>
        <v>286</v>
      </c>
      <c r="B292" s="141" t="s">
        <v>314</v>
      </c>
      <c r="C292" s="366"/>
      <c r="D292" s="143" t="s">
        <v>227</v>
      </c>
      <c r="E292" s="38"/>
      <c r="F292" s="144" t="s">
        <v>201</v>
      </c>
      <c r="G292" s="145" t="s">
        <v>290</v>
      </c>
    </row>
    <row r="293" spans="1:14" ht="30" customHeight="1">
      <c r="A293" s="140">
        <f t="shared" si="4"/>
        <v>287</v>
      </c>
      <c r="B293" s="141" t="s">
        <v>314</v>
      </c>
      <c r="C293" s="366"/>
      <c r="D293" s="143" t="s">
        <v>77</v>
      </c>
      <c r="E293" s="38"/>
      <c r="F293" s="144" t="s">
        <v>78</v>
      </c>
      <c r="G293" s="145" t="s">
        <v>205</v>
      </c>
    </row>
    <row r="294" spans="1:14" ht="30" customHeight="1">
      <c r="A294" s="140">
        <f t="shared" si="4"/>
        <v>288</v>
      </c>
      <c r="B294" s="141" t="s">
        <v>314</v>
      </c>
      <c r="C294" s="366"/>
      <c r="D294" s="143" t="s">
        <v>79</v>
      </c>
      <c r="E294" s="38"/>
      <c r="F294" s="144" t="s">
        <v>80</v>
      </c>
      <c r="G294" s="145" t="s">
        <v>204</v>
      </c>
    </row>
    <row r="295" spans="1:14" ht="30" customHeight="1">
      <c r="A295" s="140">
        <f t="shared" si="4"/>
        <v>289</v>
      </c>
      <c r="B295" s="141" t="s">
        <v>314</v>
      </c>
      <c r="C295" s="366"/>
      <c r="D295" s="143" t="s">
        <v>82</v>
      </c>
      <c r="E295" s="38"/>
      <c r="F295" s="144" t="s">
        <v>207</v>
      </c>
      <c r="G295" s="145" t="s">
        <v>84</v>
      </c>
    </row>
    <row r="296" spans="1:14" ht="30" customHeight="1">
      <c r="A296" s="140">
        <f t="shared" si="4"/>
        <v>290</v>
      </c>
      <c r="B296" s="141" t="s">
        <v>314</v>
      </c>
      <c r="C296" s="366"/>
      <c r="D296" s="143" t="s">
        <v>85</v>
      </c>
      <c r="E296" s="38"/>
      <c r="F296" s="144" t="s">
        <v>86</v>
      </c>
      <c r="G296" s="145" t="s">
        <v>203</v>
      </c>
    </row>
    <row r="297" spans="1:14" ht="30" customHeight="1">
      <c r="A297" s="140">
        <f t="shared" si="4"/>
        <v>291</v>
      </c>
      <c r="B297" s="141" t="s">
        <v>314</v>
      </c>
      <c r="C297" s="365" t="s">
        <v>102</v>
      </c>
      <c r="D297" s="143" t="s">
        <v>88</v>
      </c>
      <c r="E297" s="38"/>
      <c r="F297" s="144" t="s">
        <v>89</v>
      </c>
      <c r="G297" s="146" t="s">
        <v>206</v>
      </c>
    </row>
    <row r="298" spans="1:14" ht="30" customHeight="1">
      <c r="A298" s="140">
        <f t="shared" si="4"/>
        <v>292</v>
      </c>
      <c r="B298" s="141" t="s">
        <v>314</v>
      </c>
      <c r="C298" s="366"/>
      <c r="D298" s="143" t="s">
        <v>98</v>
      </c>
      <c r="E298" s="38"/>
      <c r="F298" s="147" t="s">
        <v>91</v>
      </c>
      <c r="G298" s="146" t="s">
        <v>206</v>
      </c>
    </row>
    <row r="299" spans="1:14" ht="30" customHeight="1">
      <c r="A299" s="140">
        <f t="shared" si="4"/>
        <v>293</v>
      </c>
      <c r="B299" s="141" t="s">
        <v>314</v>
      </c>
      <c r="C299" s="366"/>
      <c r="D299" s="143" t="s">
        <v>92</v>
      </c>
      <c r="E299" s="39"/>
      <c r="F299" s="148" t="s">
        <v>208</v>
      </c>
      <c r="G299" s="146" t="s">
        <v>206</v>
      </c>
    </row>
    <row r="300" spans="1:14" ht="30" customHeight="1">
      <c r="A300" s="140">
        <f t="shared" si="4"/>
        <v>294</v>
      </c>
      <c r="B300" s="141" t="s">
        <v>314</v>
      </c>
      <c r="C300" s="366"/>
      <c r="D300" s="143" t="s">
        <v>82</v>
      </c>
      <c r="E300" s="39"/>
      <c r="F300" s="144" t="s">
        <v>207</v>
      </c>
      <c r="G300" s="145" t="s">
        <v>84</v>
      </c>
    </row>
    <row r="301" spans="1:14" ht="30" customHeight="1">
      <c r="A301" s="140">
        <f t="shared" si="4"/>
        <v>295</v>
      </c>
      <c r="B301" s="141" t="s">
        <v>314</v>
      </c>
      <c r="C301" s="366"/>
      <c r="D301" s="143" t="s">
        <v>85</v>
      </c>
      <c r="E301" s="39"/>
      <c r="F301" s="144" t="s">
        <v>86</v>
      </c>
      <c r="G301" s="145" t="s">
        <v>87</v>
      </c>
    </row>
    <row r="302" spans="1:14" ht="30" customHeight="1">
      <c r="A302" s="140">
        <f t="shared" si="4"/>
        <v>296</v>
      </c>
      <c r="B302" s="141" t="s">
        <v>314</v>
      </c>
      <c r="C302" s="366"/>
      <c r="D302" s="143" t="s">
        <v>95</v>
      </c>
      <c r="E302" s="38"/>
      <c r="F302" s="144" t="s">
        <v>233</v>
      </c>
      <c r="G302" s="145" t="s">
        <v>94</v>
      </c>
    </row>
    <row r="303" spans="1:14" ht="30" customHeight="1">
      <c r="A303" s="140">
        <f t="shared" si="4"/>
        <v>297</v>
      </c>
      <c r="B303" s="141" t="s">
        <v>314</v>
      </c>
      <c r="C303" s="366"/>
      <c r="D303" s="143" t="s">
        <v>96</v>
      </c>
      <c r="E303" s="40"/>
      <c r="F303" s="149" t="s">
        <v>209</v>
      </c>
      <c r="G303" s="146" t="s">
        <v>206</v>
      </c>
    </row>
    <row r="304" spans="1:14" ht="30" customHeight="1">
      <c r="A304" s="140">
        <f t="shared" si="4"/>
        <v>298</v>
      </c>
      <c r="B304" s="141" t="s">
        <v>314</v>
      </c>
      <c r="C304" s="366" t="s">
        <v>99</v>
      </c>
      <c r="D304" s="367"/>
      <c r="E304" s="90"/>
      <c r="F304" s="148">
        <v>15000000</v>
      </c>
      <c r="G304" s="145" t="s">
        <v>305</v>
      </c>
    </row>
    <row r="305" spans="1:14" ht="30" customHeight="1">
      <c r="A305" s="140">
        <f t="shared" si="4"/>
        <v>299</v>
      </c>
      <c r="B305" s="141" t="s">
        <v>314</v>
      </c>
      <c r="C305" s="368" t="s">
        <v>228</v>
      </c>
      <c r="D305" s="367"/>
      <c r="E305" s="138"/>
      <c r="F305" s="150">
        <v>50</v>
      </c>
      <c r="G305" s="145" t="s">
        <v>229</v>
      </c>
    </row>
    <row r="306" spans="1:14" ht="40.5">
      <c r="A306" s="140">
        <f t="shared" si="4"/>
        <v>300</v>
      </c>
      <c r="B306" s="141" t="s">
        <v>314</v>
      </c>
      <c r="C306" s="366" t="s">
        <v>235</v>
      </c>
      <c r="D306" s="367"/>
      <c r="E306" s="38"/>
      <c r="F306" s="151" t="s">
        <v>240</v>
      </c>
      <c r="G306" s="145" t="s">
        <v>361</v>
      </c>
    </row>
    <row r="307" spans="1:14" ht="30" customHeight="1">
      <c r="A307" s="140">
        <f t="shared" si="4"/>
        <v>301</v>
      </c>
      <c r="B307" s="141" t="s">
        <v>314</v>
      </c>
      <c r="C307" s="366" t="s">
        <v>242</v>
      </c>
      <c r="D307" s="367"/>
      <c r="E307" s="38"/>
      <c r="F307" s="151" t="s">
        <v>241</v>
      </c>
      <c r="G307" s="145" t="s">
        <v>400</v>
      </c>
    </row>
    <row r="308" spans="1:14" ht="30" customHeight="1">
      <c r="A308" s="140">
        <f t="shared" si="4"/>
        <v>302</v>
      </c>
      <c r="B308" s="141" t="s">
        <v>314</v>
      </c>
      <c r="C308" s="366" t="s">
        <v>234</v>
      </c>
      <c r="D308" s="367"/>
      <c r="E308" s="90"/>
      <c r="F308" s="152">
        <v>10000000000</v>
      </c>
      <c r="G308" s="145" t="s">
        <v>306</v>
      </c>
    </row>
    <row r="309" spans="1:14" ht="30" customHeight="1">
      <c r="A309" s="140">
        <f t="shared" si="4"/>
        <v>303</v>
      </c>
      <c r="B309" s="141" t="s">
        <v>314</v>
      </c>
      <c r="C309" s="365" t="s">
        <v>294</v>
      </c>
      <c r="D309" s="142" t="s">
        <v>295</v>
      </c>
      <c r="E309" s="136"/>
      <c r="F309" s="153">
        <v>36617</v>
      </c>
      <c r="G309" s="154" t="s">
        <v>392</v>
      </c>
    </row>
    <row r="310" spans="1:14" ht="30" customHeight="1">
      <c r="A310" s="140">
        <f t="shared" si="4"/>
        <v>304</v>
      </c>
      <c r="B310" s="141" t="s">
        <v>314</v>
      </c>
      <c r="C310" s="366"/>
      <c r="D310" s="142" t="s">
        <v>296</v>
      </c>
      <c r="E310" s="136"/>
      <c r="F310" s="153">
        <v>36617</v>
      </c>
      <c r="G310" s="154" t="s">
        <v>392</v>
      </c>
    </row>
    <row r="311" spans="1:14" ht="30" customHeight="1">
      <c r="A311" s="140">
        <f t="shared" si="4"/>
        <v>305</v>
      </c>
      <c r="B311" s="141" t="s">
        <v>314</v>
      </c>
      <c r="C311" s="366"/>
      <c r="D311" s="142" t="s">
        <v>297</v>
      </c>
      <c r="E311" s="136"/>
      <c r="F311" s="153">
        <v>36617</v>
      </c>
      <c r="G311" s="154" t="s">
        <v>392</v>
      </c>
    </row>
    <row r="312" spans="1:14" ht="30" customHeight="1">
      <c r="A312" s="140">
        <f t="shared" si="4"/>
        <v>306</v>
      </c>
      <c r="B312" s="141" t="s">
        <v>314</v>
      </c>
      <c r="C312" s="366"/>
      <c r="D312" s="142" t="s">
        <v>298</v>
      </c>
      <c r="E312" s="136"/>
      <c r="F312" s="153">
        <v>36617</v>
      </c>
      <c r="G312" s="154" t="s">
        <v>392</v>
      </c>
    </row>
    <row r="313" spans="1:14" ht="30" customHeight="1">
      <c r="A313" s="140">
        <f t="shared" si="4"/>
        <v>307</v>
      </c>
      <c r="B313" s="141" t="s">
        <v>314</v>
      </c>
      <c r="C313" s="365" t="s">
        <v>391</v>
      </c>
      <c r="D313" s="142" t="s">
        <v>299</v>
      </c>
      <c r="E313" s="136"/>
      <c r="F313" s="153">
        <v>36617</v>
      </c>
      <c r="G313" s="154" t="s">
        <v>392</v>
      </c>
    </row>
    <row r="314" spans="1:14" ht="30" customHeight="1">
      <c r="A314" s="140">
        <f t="shared" si="4"/>
        <v>308</v>
      </c>
      <c r="B314" s="141" t="s">
        <v>314</v>
      </c>
      <c r="C314" s="366"/>
      <c r="D314" s="142" t="s">
        <v>300</v>
      </c>
      <c r="E314" s="136"/>
      <c r="F314" s="153">
        <v>36617</v>
      </c>
      <c r="G314" s="154" t="s">
        <v>392</v>
      </c>
    </row>
    <row r="315" spans="1:14" ht="30" customHeight="1">
      <c r="A315" s="140">
        <f t="shared" si="4"/>
        <v>309</v>
      </c>
      <c r="B315" s="141" t="s">
        <v>314</v>
      </c>
      <c r="C315" s="366"/>
      <c r="D315" s="142" t="s">
        <v>301</v>
      </c>
      <c r="E315" s="136"/>
      <c r="F315" s="153">
        <v>36617</v>
      </c>
      <c r="G315" s="154" t="s">
        <v>392</v>
      </c>
    </row>
    <row r="316" spans="1:14" ht="30" customHeight="1">
      <c r="A316" s="140">
        <f t="shared" si="4"/>
        <v>310</v>
      </c>
      <c r="B316" s="141" t="s">
        <v>314</v>
      </c>
      <c r="C316" s="368" t="s">
        <v>302</v>
      </c>
      <c r="D316" s="367"/>
      <c r="E316" s="136"/>
      <c r="F316" s="153">
        <v>36617</v>
      </c>
      <c r="G316" s="154" t="s">
        <v>392</v>
      </c>
    </row>
    <row r="317" spans="1:14" ht="30" customHeight="1">
      <c r="A317" s="140">
        <f t="shared" si="4"/>
        <v>311</v>
      </c>
      <c r="B317" s="141" t="s">
        <v>314</v>
      </c>
      <c r="C317" s="368" t="s">
        <v>303</v>
      </c>
      <c r="D317" s="367"/>
      <c r="E317" s="138"/>
      <c r="F317" s="150">
        <v>2</v>
      </c>
      <c r="G317" s="154" t="s">
        <v>398</v>
      </c>
    </row>
    <row r="318" spans="1:14" ht="30" customHeight="1">
      <c r="A318" s="140">
        <f t="shared" si="4"/>
        <v>312</v>
      </c>
      <c r="B318" s="141" t="s">
        <v>314</v>
      </c>
      <c r="C318" s="368" t="s">
        <v>304</v>
      </c>
      <c r="D318" s="367"/>
      <c r="E318" s="138"/>
      <c r="F318" s="150">
        <v>2</v>
      </c>
      <c r="G318" s="154" t="s">
        <v>399</v>
      </c>
    </row>
    <row r="319" spans="1:14" ht="30" customHeight="1">
      <c r="A319" s="140">
        <f t="shared" si="4"/>
        <v>313</v>
      </c>
      <c r="B319" s="141" t="s">
        <v>314</v>
      </c>
      <c r="C319" s="368" t="s">
        <v>292</v>
      </c>
      <c r="D319" s="367"/>
      <c r="E319" s="38"/>
      <c r="F319" s="151" t="s">
        <v>230</v>
      </c>
      <c r="G319" s="145"/>
    </row>
    <row r="320" spans="1:14" ht="30" customHeight="1">
      <c r="A320" s="251">
        <f t="shared" si="4"/>
        <v>314</v>
      </c>
      <c r="B320" s="252" t="s">
        <v>315</v>
      </c>
      <c r="C320" s="369" t="s">
        <v>213</v>
      </c>
      <c r="D320" s="370"/>
      <c r="E320" s="38" t="s">
        <v>214</v>
      </c>
      <c r="F320" s="253" t="s">
        <v>217</v>
      </c>
      <c r="G320" s="254" t="s">
        <v>402</v>
      </c>
      <c r="L320" s="69"/>
      <c r="M320" s="69"/>
      <c r="N320" s="69"/>
    </row>
    <row r="321" spans="1:7" ht="30" customHeight="1">
      <c r="A321" s="251">
        <f t="shared" si="4"/>
        <v>315</v>
      </c>
      <c r="B321" s="252" t="s">
        <v>315</v>
      </c>
      <c r="C321" s="369" t="s">
        <v>74</v>
      </c>
      <c r="D321" s="272" t="s">
        <v>125</v>
      </c>
      <c r="E321" s="38"/>
      <c r="F321" s="275" t="s">
        <v>75</v>
      </c>
      <c r="G321" s="254" t="s">
        <v>76</v>
      </c>
    </row>
    <row r="322" spans="1:7" ht="30" customHeight="1">
      <c r="A322" s="251">
        <f t="shared" si="4"/>
        <v>316</v>
      </c>
      <c r="B322" s="273" t="s">
        <v>315</v>
      </c>
      <c r="C322" s="369"/>
      <c r="D322" s="274" t="s">
        <v>198</v>
      </c>
      <c r="E322" s="40"/>
      <c r="F322" s="275" t="s">
        <v>199</v>
      </c>
      <c r="G322" s="254" t="s">
        <v>202</v>
      </c>
    </row>
    <row r="323" spans="1:7" ht="40.5">
      <c r="A323" s="251">
        <f t="shared" si="4"/>
        <v>317</v>
      </c>
      <c r="B323" s="273" t="s">
        <v>315</v>
      </c>
      <c r="C323" s="369"/>
      <c r="D323" s="274" t="s">
        <v>227</v>
      </c>
      <c r="E323" s="38"/>
      <c r="F323" s="275" t="s">
        <v>201</v>
      </c>
      <c r="G323" s="254" t="s">
        <v>290</v>
      </c>
    </row>
    <row r="324" spans="1:7" ht="30" customHeight="1">
      <c r="A324" s="251">
        <f t="shared" si="4"/>
        <v>318</v>
      </c>
      <c r="B324" s="273" t="s">
        <v>315</v>
      </c>
      <c r="C324" s="369"/>
      <c r="D324" s="274" t="s">
        <v>77</v>
      </c>
      <c r="E324" s="38"/>
      <c r="F324" s="275" t="s">
        <v>78</v>
      </c>
      <c r="G324" s="254" t="s">
        <v>205</v>
      </c>
    </row>
    <row r="325" spans="1:7" ht="30" customHeight="1">
      <c r="A325" s="251">
        <f t="shared" si="4"/>
        <v>319</v>
      </c>
      <c r="B325" s="273" t="s">
        <v>315</v>
      </c>
      <c r="C325" s="369"/>
      <c r="D325" s="274" t="s">
        <v>79</v>
      </c>
      <c r="E325" s="38"/>
      <c r="F325" s="275" t="s">
        <v>80</v>
      </c>
      <c r="G325" s="254" t="s">
        <v>204</v>
      </c>
    </row>
    <row r="326" spans="1:7" ht="30" customHeight="1">
      <c r="A326" s="251">
        <f t="shared" si="4"/>
        <v>320</v>
      </c>
      <c r="B326" s="273" t="s">
        <v>315</v>
      </c>
      <c r="C326" s="369"/>
      <c r="D326" s="274" t="s">
        <v>82</v>
      </c>
      <c r="E326" s="38"/>
      <c r="F326" s="275" t="s">
        <v>207</v>
      </c>
      <c r="G326" s="254" t="s">
        <v>84</v>
      </c>
    </row>
    <row r="327" spans="1:7" ht="30" customHeight="1">
      <c r="A327" s="251">
        <f t="shared" si="4"/>
        <v>321</v>
      </c>
      <c r="B327" s="273" t="s">
        <v>315</v>
      </c>
      <c r="C327" s="369"/>
      <c r="D327" s="274" t="s">
        <v>85</v>
      </c>
      <c r="E327" s="38"/>
      <c r="F327" s="275" t="s">
        <v>86</v>
      </c>
      <c r="G327" s="254" t="s">
        <v>203</v>
      </c>
    </row>
    <row r="328" spans="1:7" ht="30" customHeight="1">
      <c r="A328" s="251">
        <f t="shared" si="4"/>
        <v>322</v>
      </c>
      <c r="B328" s="273" t="s">
        <v>315</v>
      </c>
      <c r="C328" s="371" t="s">
        <v>102</v>
      </c>
      <c r="D328" s="274" t="s">
        <v>88</v>
      </c>
      <c r="E328" s="38"/>
      <c r="F328" s="275" t="s">
        <v>89</v>
      </c>
      <c r="G328" s="276" t="s">
        <v>206</v>
      </c>
    </row>
    <row r="329" spans="1:7" ht="30" customHeight="1">
      <c r="A329" s="251">
        <f t="shared" ref="A329:A382" si="5">ROW()-6</f>
        <v>323</v>
      </c>
      <c r="B329" s="273" t="s">
        <v>315</v>
      </c>
      <c r="C329" s="369"/>
      <c r="D329" s="274" t="s">
        <v>98</v>
      </c>
      <c r="E329" s="38"/>
      <c r="F329" s="277" t="s">
        <v>91</v>
      </c>
      <c r="G329" s="276" t="s">
        <v>206</v>
      </c>
    </row>
    <row r="330" spans="1:7" ht="30" customHeight="1">
      <c r="A330" s="251">
        <f t="shared" si="5"/>
        <v>324</v>
      </c>
      <c r="B330" s="273" t="s">
        <v>315</v>
      </c>
      <c r="C330" s="369"/>
      <c r="D330" s="274" t="s">
        <v>92</v>
      </c>
      <c r="E330" s="39"/>
      <c r="F330" s="253" t="s">
        <v>208</v>
      </c>
      <c r="G330" s="276" t="s">
        <v>206</v>
      </c>
    </row>
    <row r="331" spans="1:7" ht="30" customHeight="1">
      <c r="A331" s="251">
        <f t="shared" si="5"/>
        <v>325</v>
      </c>
      <c r="B331" s="273" t="s">
        <v>315</v>
      </c>
      <c r="C331" s="369"/>
      <c r="D331" s="274" t="s">
        <v>82</v>
      </c>
      <c r="E331" s="39"/>
      <c r="F331" s="275" t="s">
        <v>207</v>
      </c>
      <c r="G331" s="254" t="s">
        <v>84</v>
      </c>
    </row>
    <row r="332" spans="1:7" ht="30" customHeight="1">
      <c r="A332" s="251">
        <f t="shared" si="5"/>
        <v>326</v>
      </c>
      <c r="B332" s="273" t="s">
        <v>315</v>
      </c>
      <c r="C332" s="369"/>
      <c r="D332" s="274" t="s">
        <v>85</v>
      </c>
      <c r="E332" s="39"/>
      <c r="F332" s="275" t="s">
        <v>86</v>
      </c>
      <c r="G332" s="254" t="s">
        <v>87</v>
      </c>
    </row>
    <row r="333" spans="1:7" ht="30" customHeight="1">
      <c r="A333" s="251">
        <f t="shared" si="5"/>
        <v>327</v>
      </c>
      <c r="B333" s="273" t="s">
        <v>315</v>
      </c>
      <c r="C333" s="369"/>
      <c r="D333" s="274" t="s">
        <v>95</v>
      </c>
      <c r="E333" s="38"/>
      <c r="F333" s="275" t="s">
        <v>233</v>
      </c>
      <c r="G333" s="254" t="s">
        <v>94</v>
      </c>
    </row>
    <row r="334" spans="1:7" ht="30" customHeight="1">
      <c r="A334" s="251">
        <f t="shared" si="5"/>
        <v>328</v>
      </c>
      <c r="B334" s="273" t="s">
        <v>315</v>
      </c>
      <c r="C334" s="369"/>
      <c r="D334" s="274" t="s">
        <v>96</v>
      </c>
      <c r="E334" s="40"/>
      <c r="F334" s="278" t="s">
        <v>209</v>
      </c>
      <c r="G334" s="276" t="s">
        <v>206</v>
      </c>
    </row>
    <row r="335" spans="1:7" ht="30" customHeight="1">
      <c r="A335" s="251">
        <f t="shared" si="5"/>
        <v>329</v>
      </c>
      <c r="B335" s="273" t="s">
        <v>315</v>
      </c>
      <c r="C335" s="369" t="s">
        <v>99</v>
      </c>
      <c r="D335" s="370"/>
      <c r="E335" s="90"/>
      <c r="F335" s="253">
        <v>15000000</v>
      </c>
      <c r="G335" s="254" t="s">
        <v>305</v>
      </c>
    </row>
    <row r="336" spans="1:7" ht="30" customHeight="1">
      <c r="A336" s="251">
        <f t="shared" si="5"/>
        <v>330</v>
      </c>
      <c r="B336" s="273" t="s">
        <v>315</v>
      </c>
      <c r="C336" s="372" t="s">
        <v>228</v>
      </c>
      <c r="D336" s="370"/>
      <c r="E336" s="138"/>
      <c r="F336" s="279">
        <v>50</v>
      </c>
      <c r="G336" s="254" t="s">
        <v>229</v>
      </c>
    </row>
    <row r="337" spans="1:14" ht="40.5">
      <c r="A337" s="251">
        <f t="shared" si="5"/>
        <v>331</v>
      </c>
      <c r="B337" s="273" t="s">
        <v>315</v>
      </c>
      <c r="C337" s="369" t="s">
        <v>235</v>
      </c>
      <c r="D337" s="370"/>
      <c r="E337" s="38"/>
      <c r="F337" s="280" t="s">
        <v>240</v>
      </c>
      <c r="G337" s="254" t="s">
        <v>361</v>
      </c>
    </row>
    <row r="338" spans="1:14" ht="30" customHeight="1">
      <c r="A338" s="251">
        <f t="shared" si="5"/>
        <v>332</v>
      </c>
      <c r="B338" s="273" t="s">
        <v>315</v>
      </c>
      <c r="C338" s="369" t="s">
        <v>242</v>
      </c>
      <c r="D338" s="370"/>
      <c r="E338" s="38"/>
      <c r="F338" s="280" t="s">
        <v>241</v>
      </c>
      <c r="G338" s="254" t="s">
        <v>400</v>
      </c>
    </row>
    <row r="339" spans="1:14" ht="30" customHeight="1">
      <c r="A339" s="251">
        <f t="shared" si="5"/>
        <v>333</v>
      </c>
      <c r="B339" s="273" t="s">
        <v>315</v>
      </c>
      <c r="C339" s="369" t="s">
        <v>234</v>
      </c>
      <c r="D339" s="370"/>
      <c r="E339" s="90"/>
      <c r="F339" s="281">
        <v>10000000000</v>
      </c>
      <c r="G339" s="254" t="s">
        <v>306</v>
      </c>
    </row>
    <row r="340" spans="1:14" ht="30" customHeight="1">
      <c r="A340" s="251">
        <f t="shared" si="5"/>
        <v>334</v>
      </c>
      <c r="B340" s="273" t="s">
        <v>315</v>
      </c>
      <c r="C340" s="371" t="s">
        <v>294</v>
      </c>
      <c r="D340" s="272" t="s">
        <v>295</v>
      </c>
      <c r="E340" s="136"/>
      <c r="F340" s="282">
        <v>36617</v>
      </c>
      <c r="G340" s="283" t="s">
        <v>392</v>
      </c>
    </row>
    <row r="341" spans="1:14" ht="30" customHeight="1">
      <c r="A341" s="251">
        <f t="shared" si="5"/>
        <v>335</v>
      </c>
      <c r="B341" s="273" t="s">
        <v>315</v>
      </c>
      <c r="C341" s="369"/>
      <c r="D341" s="272" t="s">
        <v>296</v>
      </c>
      <c r="E341" s="136"/>
      <c r="F341" s="282">
        <v>36617</v>
      </c>
      <c r="G341" s="283" t="s">
        <v>392</v>
      </c>
    </row>
    <row r="342" spans="1:14" ht="30" customHeight="1">
      <c r="A342" s="251">
        <f t="shared" si="5"/>
        <v>336</v>
      </c>
      <c r="B342" s="273" t="s">
        <v>315</v>
      </c>
      <c r="C342" s="369"/>
      <c r="D342" s="272" t="s">
        <v>297</v>
      </c>
      <c r="E342" s="136"/>
      <c r="F342" s="282">
        <v>36617</v>
      </c>
      <c r="G342" s="283" t="s">
        <v>392</v>
      </c>
    </row>
    <row r="343" spans="1:14" ht="30" customHeight="1">
      <c r="A343" s="251">
        <f t="shared" si="5"/>
        <v>337</v>
      </c>
      <c r="B343" s="273" t="s">
        <v>315</v>
      </c>
      <c r="C343" s="369"/>
      <c r="D343" s="272" t="s">
        <v>298</v>
      </c>
      <c r="E343" s="136"/>
      <c r="F343" s="282">
        <v>36617</v>
      </c>
      <c r="G343" s="283" t="s">
        <v>392</v>
      </c>
    </row>
    <row r="344" spans="1:14" ht="30" customHeight="1">
      <c r="A344" s="251">
        <f t="shared" si="5"/>
        <v>338</v>
      </c>
      <c r="B344" s="273" t="s">
        <v>315</v>
      </c>
      <c r="C344" s="371" t="s">
        <v>391</v>
      </c>
      <c r="D344" s="272" t="s">
        <v>299</v>
      </c>
      <c r="E344" s="136"/>
      <c r="F344" s="282">
        <v>36617</v>
      </c>
      <c r="G344" s="283" t="s">
        <v>392</v>
      </c>
    </row>
    <row r="345" spans="1:14" ht="30" customHeight="1">
      <c r="A345" s="251">
        <f t="shared" si="5"/>
        <v>339</v>
      </c>
      <c r="B345" s="273" t="s">
        <v>315</v>
      </c>
      <c r="C345" s="369"/>
      <c r="D345" s="272" t="s">
        <v>300</v>
      </c>
      <c r="E345" s="136"/>
      <c r="F345" s="282">
        <v>36617</v>
      </c>
      <c r="G345" s="283" t="s">
        <v>392</v>
      </c>
    </row>
    <row r="346" spans="1:14" ht="30" customHeight="1">
      <c r="A346" s="251">
        <f t="shared" si="5"/>
        <v>340</v>
      </c>
      <c r="B346" s="273" t="s">
        <v>315</v>
      </c>
      <c r="C346" s="369"/>
      <c r="D346" s="272" t="s">
        <v>301</v>
      </c>
      <c r="E346" s="136"/>
      <c r="F346" s="282">
        <v>36617</v>
      </c>
      <c r="G346" s="283" t="s">
        <v>392</v>
      </c>
    </row>
    <row r="347" spans="1:14" ht="30" customHeight="1">
      <c r="A347" s="251">
        <f t="shared" si="5"/>
        <v>341</v>
      </c>
      <c r="B347" s="273" t="s">
        <v>315</v>
      </c>
      <c r="C347" s="372" t="s">
        <v>302</v>
      </c>
      <c r="D347" s="370"/>
      <c r="E347" s="136"/>
      <c r="F347" s="282">
        <v>36617</v>
      </c>
      <c r="G347" s="283" t="s">
        <v>392</v>
      </c>
    </row>
    <row r="348" spans="1:14" ht="30" customHeight="1">
      <c r="A348" s="251">
        <f t="shared" si="5"/>
        <v>342</v>
      </c>
      <c r="B348" s="273" t="s">
        <v>315</v>
      </c>
      <c r="C348" s="372" t="s">
        <v>303</v>
      </c>
      <c r="D348" s="370"/>
      <c r="E348" s="138"/>
      <c r="F348" s="279">
        <v>2</v>
      </c>
      <c r="G348" s="283" t="s">
        <v>398</v>
      </c>
    </row>
    <row r="349" spans="1:14" ht="30" customHeight="1">
      <c r="A349" s="251">
        <f t="shared" si="5"/>
        <v>343</v>
      </c>
      <c r="B349" s="273" t="s">
        <v>315</v>
      </c>
      <c r="C349" s="372" t="s">
        <v>304</v>
      </c>
      <c r="D349" s="370"/>
      <c r="E349" s="138"/>
      <c r="F349" s="279">
        <v>2</v>
      </c>
      <c r="G349" s="283" t="s">
        <v>399</v>
      </c>
    </row>
    <row r="350" spans="1:14" ht="30" customHeight="1">
      <c r="A350" s="251">
        <f t="shared" si="5"/>
        <v>344</v>
      </c>
      <c r="B350" s="273" t="s">
        <v>315</v>
      </c>
      <c r="C350" s="372" t="s">
        <v>292</v>
      </c>
      <c r="D350" s="370"/>
      <c r="E350" s="38"/>
      <c r="F350" s="280" t="s">
        <v>230</v>
      </c>
      <c r="G350" s="254"/>
    </row>
    <row r="351" spans="1:14" ht="30" customHeight="1">
      <c r="A351" s="70">
        <f t="shared" si="5"/>
        <v>345</v>
      </c>
      <c r="B351" s="292" t="s">
        <v>316</v>
      </c>
      <c r="C351" s="321" t="s">
        <v>213</v>
      </c>
      <c r="D351" s="324"/>
      <c r="E351" s="38"/>
      <c r="F351" s="293" t="s">
        <v>318</v>
      </c>
      <c r="G351" s="305" t="s">
        <v>403</v>
      </c>
      <c r="L351" s="69"/>
      <c r="M351" s="69"/>
      <c r="N351" s="69"/>
    </row>
    <row r="352" spans="1:14" ht="30" customHeight="1">
      <c r="A352" s="70">
        <f t="shared" si="5"/>
        <v>346</v>
      </c>
      <c r="B352" s="292" t="s">
        <v>316</v>
      </c>
      <c r="C352" s="321" t="s">
        <v>74</v>
      </c>
      <c r="D352" s="74" t="s">
        <v>125</v>
      </c>
      <c r="E352" s="38"/>
      <c r="F352" s="72" t="s">
        <v>75</v>
      </c>
      <c r="G352" s="73" t="s">
        <v>76</v>
      </c>
    </row>
    <row r="353" spans="1:7" ht="30" customHeight="1">
      <c r="A353" s="70">
        <f t="shared" si="5"/>
        <v>347</v>
      </c>
      <c r="B353" s="292" t="s">
        <v>316</v>
      </c>
      <c r="C353" s="321"/>
      <c r="D353" s="75" t="s">
        <v>198</v>
      </c>
      <c r="E353" s="40"/>
      <c r="F353" s="72" t="s">
        <v>199</v>
      </c>
      <c r="G353" s="73" t="s">
        <v>202</v>
      </c>
    </row>
    <row r="354" spans="1:7" ht="40.5">
      <c r="A354" s="70">
        <f t="shared" si="5"/>
        <v>348</v>
      </c>
      <c r="B354" s="292" t="s">
        <v>316</v>
      </c>
      <c r="C354" s="321"/>
      <c r="D354" s="75" t="s">
        <v>227</v>
      </c>
      <c r="E354" s="38"/>
      <c r="F354" s="72" t="s">
        <v>201</v>
      </c>
      <c r="G354" s="73" t="s">
        <v>290</v>
      </c>
    </row>
    <row r="355" spans="1:7" ht="30" customHeight="1">
      <c r="A355" s="70">
        <f t="shared" si="5"/>
        <v>349</v>
      </c>
      <c r="B355" s="292" t="s">
        <v>316</v>
      </c>
      <c r="C355" s="321"/>
      <c r="D355" s="75" t="s">
        <v>77</v>
      </c>
      <c r="E355" s="38"/>
      <c r="F355" s="72" t="s">
        <v>78</v>
      </c>
      <c r="G355" s="73" t="s">
        <v>205</v>
      </c>
    </row>
    <row r="356" spans="1:7" ht="30" customHeight="1">
      <c r="A356" s="70">
        <f t="shared" si="5"/>
        <v>350</v>
      </c>
      <c r="B356" s="292" t="s">
        <v>316</v>
      </c>
      <c r="C356" s="321"/>
      <c r="D356" s="75" t="s">
        <v>79</v>
      </c>
      <c r="E356" s="38"/>
      <c r="F356" s="72" t="s">
        <v>80</v>
      </c>
      <c r="G356" s="73" t="s">
        <v>204</v>
      </c>
    </row>
    <row r="357" spans="1:7" ht="30" customHeight="1">
      <c r="A357" s="70">
        <f t="shared" si="5"/>
        <v>351</v>
      </c>
      <c r="B357" s="292" t="s">
        <v>316</v>
      </c>
      <c r="C357" s="321"/>
      <c r="D357" s="75" t="s">
        <v>82</v>
      </c>
      <c r="E357" s="38"/>
      <c r="F357" s="72" t="s">
        <v>207</v>
      </c>
      <c r="G357" s="73" t="s">
        <v>84</v>
      </c>
    </row>
    <row r="358" spans="1:7" ht="30" customHeight="1">
      <c r="A358" s="70">
        <f t="shared" si="5"/>
        <v>352</v>
      </c>
      <c r="B358" s="292" t="s">
        <v>316</v>
      </c>
      <c r="C358" s="321"/>
      <c r="D358" s="75" t="s">
        <v>85</v>
      </c>
      <c r="E358" s="38"/>
      <c r="F358" s="72" t="s">
        <v>86</v>
      </c>
      <c r="G358" s="73" t="s">
        <v>203</v>
      </c>
    </row>
    <row r="359" spans="1:7" ht="30" customHeight="1">
      <c r="A359" s="70">
        <f t="shared" si="5"/>
        <v>353</v>
      </c>
      <c r="B359" s="292" t="s">
        <v>316</v>
      </c>
      <c r="C359" s="320" t="s">
        <v>102</v>
      </c>
      <c r="D359" s="75" t="s">
        <v>88</v>
      </c>
      <c r="E359" s="38"/>
      <c r="F359" s="72" t="s">
        <v>89</v>
      </c>
      <c r="G359" s="76" t="s">
        <v>206</v>
      </c>
    </row>
    <row r="360" spans="1:7" ht="30" customHeight="1">
      <c r="A360" s="70">
        <f t="shared" si="5"/>
        <v>354</v>
      </c>
      <c r="B360" s="292" t="s">
        <v>316</v>
      </c>
      <c r="C360" s="321"/>
      <c r="D360" s="75" t="s">
        <v>98</v>
      </c>
      <c r="E360" s="38"/>
      <c r="F360" s="77" t="s">
        <v>91</v>
      </c>
      <c r="G360" s="76" t="s">
        <v>206</v>
      </c>
    </row>
    <row r="361" spans="1:7" ht="30" customHeight="1">
      <c r="A361" s="70">
        <f t="shared" si="5"/>
        <v>355</v>
      </c>
      <c r="B361" s="292" t="s">
        <v>316</v>
      </c>
      <c r="C361" s="321"/>
      <c r="D361" s="75" t="s">
        <v>92</v>
      </c>
      <c r="E361" s="39"/>
      <c r="F361" s="78" t="s">
        <v>208</v>
      </c>
      <c r="G361" s="76" t="s">
        <v>206</v>
      </c>
    </row>
    <row r="362" spans="1:7" ht="30" customHeight="1">
      <c r="A362" s="70">
        <f t="shared" si="5"/>
        <v>356</v>
      </c>
      <c r="B362" s="292" t="s">
        <v>316</v>
      </c>
      <c r="C362" s="321"/>
      <c r="D362" s="75" t="s">
        <v>82</v>
      </c>
      <c r="E362" s="39"/>
      <c r="F362" s="72" t="s">
        <v>207</v>
      </c>
      <c r="G362" s="73" t="s">
        <v>84</v>
      </c>
    </row>
    <row r="363" spans="1:7" ht="30" customHeight="1">
      <c r="A363" s="70">
        <f t="shared" si="5"/>
        <v>357</v>
      </c>
      <c r="B363" s="292" t="s">
        <v>316</v>
      </c>
      <c r="C363" s="321"/>
      <c r="D363" s="75" t="s">
        <v>85</v>
      </c>
      <c r="E363" s="39"/>
      <c r="F363" s="72" t="s">
        <v>86</v>
      </c>
      <c r="G363" s="73" t="s">
        <v>87</v>
      </c>
    </row>
    <row r="364" spans="1:7" ht="30" customHeight="1">
      <c r="A364" s="70">
        <f t="shared" si="5"/>
        <v>358</v>
      </c>
      <c r="B364" s="292" t="s">
        <v>316</v>
      </c>
      <c r="C364" s="321"/>
      <c r="D364" s="75" t="s">
        <v>95</v>
      </c>
      <c r="E364" s="38"/>
      <c r="F364" s="72" t="s">
        <v>233</v>
      </c>
      <c r="G364" s="73" t="s">
        <v>94</v>
      </c>
    </row>
    <row r="365" spans="1:7" ht="30" customHeight="1">
      <c r="A365" s="70">
        <f t="shared" si="5"/>
        <v>359</v>
      </c>
      <c r="B365" s="292" t="s">
        <v>316</v>
      </c>
      <c r="C365" s="321"/>
      <c r="D365" s="75" t="s">
        <v>96</v>
      </c>
      <c r="E365" s="40"/>
      <c r="F365" s="79" t="s">
        <v>209</v>
      </c>
      <c r="G365" s="76" t="s">
        <v>206</v>
      </c>
    </row>
    <row r="366" spans="1:7" ht="30" customHeight="1">
      <c r="A366" s="70">
        <f t="shared" si="5"/>
        <v>360</v>
      </c>
      <c r="B366" s="292" t="s">
        <v>316</v>
      </c>
      <c r="C366" s="321" t="s">
        <v>99</v>
      </c>
      <c r="D366" s="324"/>
      <c r="E366" s="90"/>
      <c r="F366" s="78">
        <v>15000000</v>
      </c>
      <c r="G366" s="73" t="s">
        <v>305</v>
      </c>
    </row>
    <row r="367" spans="1:7" ht="30" customHeight="1">
      <c r="A367" s="70">
        <f t="shared" si="5"/>
        <v>361</v>
      </c>
      <c r="B367" s="292" t="s">
        <v>316</v>
      </c>
      <c r="C367" s="325" t="s">
        <v>228</v>
      </c>
      <c r="D367" s="324"/>
      <c r="E367" s="138"/>
      <c r="F367" s="80">
        <v>50</v>
      </c>
      <c r="G367" s="73" t="s">
        <v>229</v>
      </c>
    </row>
    <row r="368" spans="1:7" ht="40.5">
      <c r="A368" s="70">
        <f t="shared" si="5"/>
        <v>362</v>
      </c>
      <c r="B368" s="292" t="s">
        <v>316</v>
      </c>
      <c r="C368" s="321" t="s">
        <v>235</v>
      </c>
      <c r="D368" s="324"/>
      <c r="E368" s="38"/>
      <c r="F368" s="114" t="s">
        <v>240</v>
      </c>
      <c r="G368" s="73" t="s">
        <v>361</v>
      </c>
    </row>
    <row r="369" spans="1:14" ht="30" customHeight="1">
      <c r="A369" s="70">
        <f t="shared" si="5"/>
        <v>363</v>
      </c>
      <c r="B369" s="292" t="s">
        <v>316</v>
      </c>
      <c r="C369" s="321" t="s">
        <v>242</v>
      </c>
      <c r="D369" s="324"/>
      <c r="E369" s="38"/>
      <c r="F369" s="114" t="s">
        <v>241</v>
      </c>
      <c r="G369" s="73" t="s">
        <v>400</v>
      </c>
    </row>
    <row r="370" spans="1:14" ht="30" customHeight="1">
      <c r="A370" s="70">
        <f t="shared" si="5"/>
        <v>364</v>
      </c>
      <c r="B370" s="292" t="s">
        <v>316</v>
      </c>
      <c r="C370" s="321" t="s">
        <v>234</v>
      </c>
      <c r="D370" s="324"/>
      <c r="E370" s="90"/>
      <c r="F370" s="89">
        <v>10000000000</v>
      </c>
      <c r="G370" s="73" t="s">
        <v>306</v>
      </c>
    </row>
    <row r="371" spans="1:14" ht="30" customHeight="1">
      <c r="A371" s="70">
        <f t="shared" si="5"/>
        <v>365</v>
      </c>
      <c r="B371" s="292" t="s">
        <v>316</v>
      </c>
      <c r="C371" s="325" t="s">
        <v>292</v>
      </c>
      <c r="D371" s="324"/>
      <c r="E371" s="38"/>
      <c r="F371" s="114" t="s">
        <v>230</v>
      </c>
      <c r="G371" s="73"/>
    </row>
    <row r="372" spans="1:14" ht="30" customHeight="1">
      <c r="A372" s="170">
        <f t="shared" si="5"/>
        <v>366</v>
      </c>
      <c r="B372" s="294" t="s">
        <v>317</v>
      </c>
      <c r="C372" s="329" t="s">
        <v>213</v>
      </c>
      <c r="D372" s="330"/>
      <c r="E372" s="38"/>
      <c r="F372" s="295" t="s">
        <v>318</v>
      </c>
      <c r="G372" s="175" t="s">
        <v>403</v>
      </c>
      <c r="L372" s="69"/>
      <c r="M372" s="69"/>
      <c r="N372" s="69"/>
    </row>
    <row r="373" spans="1:14" ht="30" customHeight="1">
      <c r="A373" s="170">
        <f t="shared" si="5"/>
        <v>367</v>
      </c>
      <c r="B373" s="294" t="s">
        <v>317</v>
      </c>
      <c r="C373" s="329" t="s">
        <v>74</v>
      </c>
      <c r="D373" s="172" t="s">
        <v>125</v>
      </c>
      <c r="E373" s="38"/>
      <c r="F373" s="174" t="s">
        <v>75</v>
      </c>
      <c r="G373" s="175" t="s">
        <v>76</v>
      </c>
    </row>
    <row r="374" spans="1:14" ht="30" customHeight="1">
      <c r="A374" s="170">
        <f t="shared" si="5"/>
        <v>368</v>
      </c>
      <c r="B374" s="294" t="s">
        <v>317</v>
      </c>
      <c r="C374" s="329"/>
      <c r="D374" s="173" t="s">
        <v>198</v>
      </c>
      <c r="E374" s="40"/>
      <c r="F374" s="174" t="s">
        <v>199</v>
      </c>
      <c r="G374" s="175" t="s">
        <v>202</v>
      </c>
    </row>
    <row r="375" spans="1:14" ht="40.5">
      <c r="A375" s="170">
        <f t="shared" si="5"/>
        <v>369</v>
      </c>
      <c r="B375" s="294" t="s">
        <v>317</v>
      </c>
      <c r="C375" s="329"/>
      <c r="D375" s="173" t="s">
        <v>227</v>
      </c>
      <c r="E375" s="38"/>
      <c r="F375" s="174" t="s">
        <v>201</v>
      </c>
      <c r="G375" s="175" t="s">
        <v>290</v>
      </c>
    </row>
    <row r="376" spans="1:14" ht="30" customHeight="1">
      <c r="A376" s="170">
        <f t="shared" si="5"/>
        <v>370</v>
      </c>
      <c r="B376" s="294" t="s">
        <v>317</v>
      </c>
      <c r="C376" s="329"/>
      <c r="D376" s="173" t="s">
        <v>77</v>
      </c>
      <c r="E376" s="38"/>
      <c r="F376" s="174" t="s">
        <v>78</v>
      </c>
      <c r="G376" s="175" t="s">
        <v>205</v>
      </c>
    </row>
    <row r="377" spans="1:14" ht="30" customHeight="1">
      <c r="A377" s="170">
        <f t="shared" si="5"/>
        <v>371</v>
      </c>
      <c r="B377" s="294" t="s">
        <v>317</v>
      </c>
      <c r="C377" s="329"/>
      <c r="D377" s="173" t="s">
        <v>79</v>
      </c>
      <c r="E377" s="38"/>
      <c r="F377" s="174" t="s">
        <v>80</v>
      </c>
      <c r="G377" s="175" t="s">
        <v>204</v>
      </c>
    </row>
    <row r="378" spans="1:14" ht="30" customHeight="1">
      <c r="A378" s="170">
        <f t="shared" si="5"/>
        <v>372</v>
      </c>
      <c r="B378" s="294" t="s">
        <v>317</v>
      </c>
      <c r="C378" s="329"/>
      <c r="D378" s="173" t="s">
        <v>82</v>
      </c>
      <c r="E378" s="38"/>
      <c r="F378" s="174" t="s">
        <v>207</v>
      </c>
      <c r="G378" s="175" t="s">
        <v>84</v>
      </c>
    </row>
    <row r="379" spans="1:14" ht="30" customHeight="1">
      <c r="A379" s="170">
        <f t="shared" si="5"/>
        <v>373</v>
      </c>
      <c r="B379" s="294" t="s">
        <v>317</v>
      </c>
      <c r="C379" s="329"/>
      <c r="D379" s="173" t="s">
        <v>85</v>
      </c>
      <c r="E379" s="38"/>
      <c r="F379" s="174" t="s">
        <v>86</v>
      </c>
      <c r="G379" s="175" t="s">
        <v>203</v>
      </c>
    </row>
    <row r="380" spans="1:14" ht="30" customHeight="1">
      <c r="A380" s="170">
        <f t="shared" si="5"/>
        <v>374</v>
      </c>
      <c r="B380" s="294" t="s">
        <v>317</v>
      </c>
      <c r="C380" s="331" t="s">
        <v>102</v>
      </c>
      <c r="D380" s="173" t="s">
        <v>88</v>
      </c>
      <c r="E380" s="38"/>
      <c r="F380" s="174" t="s">
        <v>89</v>
      </c>
      <c r="G380" s="176" t="s">
        <v>206</v>
      </c>
    </row>
    <row r="381" spans="1:14" ht="30" customHeight="1">
      <c r="A381" s="170">
        <f t="shared" si="5"/>
        <v>375</v>
      </c>
      <c r="B381" s="294" t="s">
        <v>317</v>
      </c>
      <c r="C381" s="329"/>
      <c r="D381" s="173" t="s">
        <v>98</v>
      </c>
      <c r="E381" s="38"/>
      <c r="F381" s="177" t="s">
        <v>91</v>
      </c>
      <c r="G381" s="176" t="s">
        <v>206</v>
      </c>
    </row>
    <row r="382" spans="1:14" ht="30" customHeight="1">
      <c r="A382" s="170">
        <f t="shared" si="5"/>
        <v>376</v>
      </c>
      <c r="B382" s="294" t="s">
        <v>317</v>
      </c>
      <c r="C382" s="329"/>
      <c r="D382" s="173" t="s">
        <v>92</v>
      </c>
      <c r="E382" s="39"/>
      <c r="F382" s="178" t="s">
        <v>208</v>
      </c>
      <c r="G382" s="176" t="s">
        <v>206</v>
      </c>
    </row>
    <row r="383" spans="1:14" ht="30" customHeight="1">
      <c r="A383" s="170">
        <f t="shared" ref="A383:A433" si="6">ROW()-6</f>
        <v>377</v>
      </c>
      <c r="B383" s="294" t="s">
        <v>317</v>
      </c>
      <c r="C383" s="329"/>
      <c r="D383" s="173" t="s">
        <v>82</v>
      </c>
      <c r="E383" s="39"/>
      <c r="F383" s="174" t="s">
        <v>207</v>
      </c>
      <c r="G383" s="175" t="s">
        <v>84</v>
      </c>
    </row>
    <row r="384" spans="1:14" ht="30" customHeight="1">
      <c r="A384" s="170">
        <f t="shared" si="6"/>
        <v>378</v>
      </c>
      <c r="B384" s="294" t="s">
        <v>317</v>
      </c>
      <c r="C384" s="329"/>
      <c r="D384" s="173" t="s">
        <v>85</v>
      </c>
      <c r="E384" s="39"/>
      <c r="F384" s="174" t="s">
        <v>86</v>
      </c>
      <c r="G384" s="175" t="s">
        <v>87</v>
      </c>
    </row>
    <row r="385" spans="1:14" ht="30" customHeight="1">
      <c r="A385" s="170">
        <f t="shared" si="6"/>
        <v>379</v>
      </c>
      <c r="B385" s="294" t="s">
        <v>317</v>
      </c>
      <c r="C385" s="329"/>
      <c r="D385" s="173" t="s">
        <v>95</v>
      </c>
      <c r="E385" s="38"/>
      <c r="F385" s="174" t="s">
        <v>233</v>
      </c>
      <c r="G385" s="175" t="s">
        <v>94</v>
      </c>
    </row>
    <row r="386" spans="1:14" ht="30" customHeight="1">
      <c r="A386" s="170">
        <f t="shared" si="6"/>
        <v>380</v>
      </c>
      <c r="B386" s="294" t="s">
        <v>317</v>
      </c>
      <c r="C386" s="329"/>
      <c r="D386" s="173" t="s">
        <v>96</v>
      </c>
      <c r="E386" s="40"/>
      <c r="F386" s="179" t="s">
        <v>209</v>
      </c>
      <c r="G386" s="176" t="s">
        <v>206</v>
      </c>
    </row>
    <row r="387" spans="1:14" ht="30" customHeight="1">
      <c r="A387" s="170">
        <f t="shared" si="6"/>
        <v>381</v>
      </c>
      <c r="B387" s="294" t="s">
        <v>317</v>
      </c>
      <c r="C387" s="329" t="s">
        <v>99</v>
      </c>
      <c r="D387" s="330"/>
      <c r="E387" s="90"/>
      <c r="F387" s="178">
        <v>15000000</v>
      </c>
      <c r="G387" s="175" t="s">
        <v>305</v>
      </c>
    </row>
    <row r="388" spans="1:14" ht="30" customHeight="1">
      <c r="A388" s="170">
        <f t="shared" si="6"/>
        <v>382</v>
      </c>
      <c r="B388" s="294" t="s">
        <v>317</v>
      </c>
      <c r="C388" s="332" t="s">
        <v>228</v>
      </c>
      <c r="D388" s="330"/>
      <c r="E388" s="138"/>
      <c r="F388" s="180">
        <v>50</v>
      </c>
      <c r="G388" s="175" t="s">
        <v>229</v>
      </c>
    </row>
    <row r="389" spans="1:14" ht="40.5">
      <c r="A389" s="170">
        <f t="shared" si="6"/>
        <v>383</v>
      </c>
      <c r="B389" s="294" t="s">
        <v>317</v>
      </c>
      <c r="C389" s="329" t="s">
        <v>235</v>
      </c>
      <c r="D389" s="330"/>
      <c r="E389" s="38"/>
      <c r="F389" s="181" t="s">
        <v>240</v>
      </c>
      <c r="G389" s="175" t="s">
        <v>361</v>
      </c>
    </row>
    <row r="390" spans="1:14" ht="30" customHeight="1">
      <c r="A390" s="170">
        <f t="shared" si="6"/>
        <v>384</v>
      </c>
      <c r="B390" s="294" t="s">
        <v>317</v>
      </c>
      <c r="C390" s="329" t="s">
        <v>242</v>
      </c>
      <c r="D390" s="330"/>
      <c r="E390" s="38"/>
      <c r="F390" s="181" t="s">
        <v>241</v>
      </c>
      <c r="G390" s="175" t="s">
        <v>400</v>
      </c>
    </row>
    <row r="391" spans="1:14" ht="30" customHeight="1">
      <c r="A391" s="170">
        <f t="shared" si="6"/>
        <v>385</v>
      </c>
      <c r="B391" s="294" t="s">
        <v>317</v>
      </c>
      <c r="C391" s="329" t="s">
        <v>234</v>
      </c>
      <c r="D391" s="330"/>
      <c r="E391" s="90"/>
      <c r="F391" s="182">
        <v>10000000000</v>
      </c>
      <c r="G391" s="175" t="s">
        <v>306</v>
      </c>
    </row>
    <row r="392" spans="1:14" ht="30" customHeight="1">
      <c r="A392" s="170">
        <f t="shared" si="6"/>
        <v>386</v>
      </c>
      <c r="B392" s="294" t="s">
        <v>317</v>
      </c>
      <c r="C392" s="332" t="s">
        <v>292</v>
      </c>
      <c r="D392" s="330"/>
      <c r="E392" s="38"/>
      <c r="F392" s="181" t="s">
        <v>230</v>
      </c>
      <c r="G392" s="175"/>
    </row>
    <row r="393" spans="1:14" ht="30" customHeight="1">
      <c r="A393" s="155">
        <f t="shared" si="6"/>
        <v>387</v>
      </c>
      <c r="B393" s="296" t="s">
        <v>319</v>
      </c>
      <c r="C393" s="341" t="s">
        <v>213</v>
      </c>
      <c r="D393" s="342"/>
      <c r="E393" s="38"/>
      <c r="F393" s="163" t="s">
        <v>318</v>
      </c>
      <c r="G393" s="160" t="s">
        <v>403</v>
      </c>
      <c r="L393" s="69"/>
      <c r="M393" s="69"/>
      <c r="N393" s="69"/>
    </row>
    <row r="394" spans="1:14" ht="30" customHeight="1">
      <c r="A394" s="155">
        <f t="shared" si="6"/>
        <v>388</v>
      </c>
      <c r="B394" s="296" t="s">
        <v>319</v>
      </c>
      <c r="C394" s="341" t="s">
        <v>74</v>
      </c>
      <c r="D394" s="157" t="s">
        <v>125</v>
      </c>
      <c r="E394" s="38"/>
      <c r="F394" s="159" t="s">
        <v>75</v>
      </c>
      <c r="G394" s="160" t="s">
        <v>76</v>
      </c>
    </row>
    <row r="395" spans="1:14" ht="30" customHeight="1">
      <c r="A395" s="155">
        <f t="shared" si="6"/>
        <v>389</v>
      </c>
      <c r="B395" s="296" t="s">
        <v>319</v>
      </c>
      <c r="C395" s="341"/>
      <c r="D395" s="158" t="s">
        <v>198</v>
      </c>
      <c r="E395" s="40"/>
      <c r="F395" s="159" t="s">
        <v>199</v>
      </c>
      <c r="G395" s="160" t="s">
        <v>202</v>
      </c>
    </row>
    <row r="396" spans="1:14" ht="40.5">
      <c r="A396" s="155">
        <f t="shared" si="6"/>
        <v>390</v>
      </c>
      <c r="B396" s="296" t="s">
        <v>319</v>
      </c>
      <c r="C396" s="341"/>
      <c r="D396" s="158" t="s">
        <v>227</v>
      </c>
      <c r="E396" s="38"/>
      <c r="F396" s="159" t="s">
        <v>201</v>
      </c>
      <c r="G396" s="160" t="s">
        <v>290</v>
      </c>
    </row>
    <row r="397" spans="1:14" ht="30" customHeight="1">
      <c r="A397" s="155">
        <f t="shared" si="6"/>
        <v>391</v>
      </c>
      <c r="B397" s="296" t="s">
        <v>319</v>
      </c>
      <c r="C397" s="341"/>
      <c r="D397" s="158" t="s">
        <v>77</v>
      </c>
      <c r="E397" s="38"/>
      <c r="F397" s="159" t="s">
        <v>78</v>
      </c>
      <c r="G397" s="160" t="s">
        <v>205</v>
      </c>
    </row>
    <row r="398" spans="1:14" ht="30" customHeight="1">
      <c r="A398" s="155">
        <f t="shared" si="6"/>
        <v>392</v>
      </c>
      <c r="B398" s="296" t="s">
        <v>319</v>
      </c>
      <c r="C398" s="341"/>
      <c r="D398" s="158" t="s">
        <v>79</v>
      </c>
      <c r="E398" s="38"/>
      <c r="F398" s="159" t="s">
        <v>80</v>
      </c>
      <c r="G398" s="160" t="s">
        <v>204</v>
      </c>
    </row>
    <row r="399" spans="1:14" ht="30" customHeight="1">
      <c r="A399" s="155">
        <f t="shared" si="6"/>
        <v>393</v>
      </c>
      <c r="B399" s="296" t="s">
        <v>319</v>
      </c>
      <c r="C399" s="341"/>
      <c r="D399" s="158" t="s">
        <v>82</v>
      </c>
      <c r="E399" s="38"/>
      <c r="F399" s="159" t="s">
        <v>207</v>
      </c>
      <c r="G399" s="160" t="s">
        <v>84</v>
      </c>
    </row>
    <row r="400" spans="1:14" ht="30" customHeight="1">
      <c r="A400" s="155">
        <f t="shared" si="6"/>
        <v>394</v>
      </c>
      <c r="B400" s="296" t="s">
        <v>319</v>
      </c>
      <c r="C400" s="341"/>
      <c r="D400" s="158" t="s">
        <v>85</v>
      </c>
      <c r="E400" s="38"/>
      <c r="F400" s="159" t="s">
        <v>86</v>
      </c>
      <c r="G400" s="160" t="s">
        <v>203</v>
      </c>
    </row>
    <row r="401" spans="1:14" ht="30" customHeight="1">
      <c r="A401" s="155">
        <f t="shared" si="6"/>
        <v>395</v>
      </c>
      <c r="B401" s="296" t="s">
        <v>319</v>
      </c>
      <c r="C401" s="343" t="s">
        <v>102</v>
      </c>
      <c r="D401" s="158" t="s">
        <v>88</v>
      </c>
      <c r="E401" s="38"/>
      <c r="F401" s="159" t="s">
        <v>89</v>
      </c>
      <c r="G401" s="161" t="s">
        <v>206</v>
      </c>
    </row>
    <row r="402" spans="1:14" ht="30" customHeight="1">
      <c r="A402" s="155">
        <f t="shared" si="6"/>
        <v>396</v>
      </c>
      <c r="B402" s="296" t="s">
        <v>319</v>
      </c>
      <c r="C402" s="341"/>
      <c r="D402" s="158" t="s">
        <v>98</v>
      </c>
      <c r="E402" s="38"/>
      <c r="F402" s="162" t="s">
        <v>91</v>
      </c>
      <c r="G402" s="161" t="s">
        <v>206</v>
      </c>
    </row>
    <row r="403" spans="1:14" ht="30" customHeight="1">
      <c r="A403" s="155">
        <f t="shared" si="6"/>
        <v>397</v>
      </c>
      <c r="B403" s="296" t="s">
        <v>319</v>
      </c>
      <c r="C403" s="341"/>
      <c r="D403" s="158" t="s">
        <v>92</v>
      </c>
      <c r="E403" s="39"/>
      <c r="F403" s="163" t="s">
        <v>208</v>
      </c>
      <c r="G403" s="161" t="s">
        <v>206</v>
      </c>
    </row>
    <row r="404" spans="1:14" ht="30" customHeight="1">
      <c r="A404" s="155">
        <f t="shared" si="6"/>
        <v>398</v>
      </c>
      <c r="B404" s="296" t="s">
        <v>319</v>
      </c>
      <c r="C404" s="341"/>
      <c r="D404" s="158" t="s">
        <v>82</v>
      </c>
      <c r="E404" s="39"/>
      <c r="F404" s="159" t="s">
        <v>207</v>
      </c>
      <c r="G404" s="160" t="s">
        <v>84</v>
      </c>
    </row>
    <row r="405" spans="1:14" ht="30" customHeight="1">
      <c r="A405" s="155">
        <f t="shared" si="6"/>
        <v>399</v>
      </c>
      <c r="B405" s="296" t="s">
        <v>319</v>
      </c>
      <c r="C405" s="341"/>
      <c r="D405" s="158" t="s">
        <v>85</v>
      </c>
      <c r="E405" s="39"/>
      <c r="F405" s="159" t="s">
        <v>86</v>
      </c>
      <c r="G405" s="160" t="s">
        <v>87</v>
      </c>
    </row>
    <row r="406" spans="1:14" ht="30" customHeight="1">
      <c r="A406" s="155">
        <f t="shared" si="6"/>
        <v>400</v>
      </c>
      <c r="B406" s="296" t="s">
        <v>319</v>
      </c>
      <c r="C406" s="341"/>
      <c r="D406" s="158" t="s">
        <v>95</v>
      </c>
      <c r="E406" s="38"/>
      <c r="F406" s="159" t="s">
        <v>233</v>
      </c>
      <c r="G406" s="160" t="s">
        <v>94</v>
      </c>
    </row>
    <row r="407" spans="1:14" ht="30" customHeight="1">
      <c r="A407" s="155">
        <f t="shared" si="6"/>
        <v>401</v>
      </c>
      <c r="B407" s="296" t="s">
        <v>319</v>
      </c>
      <c r="C407" s="341"/>
      <c r="D407" s="158" t="s">
        <v>96</v>
      </c>
      <c r="E407" s="40"/>
      <c r="F407" s="164" t="s">
        <v>209</v>
      </c>
      <c r="G407" s="161" t="s">
        <v>206</v>
      </c>
    </row>
    <row r="408" spans="1:14" ht="30" customHeight="1">
      <c r="A408" s="155">
        <f t="shared" si="6"/>
        <v>402</v>
      </c>
      <c r="B408" s="296" t="s">
        <v>319</v>
      </c>
      <c r="C408" s="341" t="s">
        <v>99</v>
      </c>
      <c r="D408" s="342"/>
      <c r="E408" s="90"/>
      <c r="F408" s="163">
        <v>15000000</v>
      </c>
      <c r="G408" s="160" t="s">
        <v>305</v>
      </c>
    </row>
    <row r="409" spans="1:14" ht="30" customHeight="1">
      <c r="A409" s="155">
        <f t="shared" si="6"/>
        <v>403</v>
      </c>
      <c r="B409" s="296" t="s">
        <v>319</v>
      </c>
      <c r="C409" s="344" t="s">
        <v>228</v>
      </c>
      <c r="D409" s="342"/>
      <c r="E409" s="138"/>
      <c r="F409" s="165">
        <v>50</v>
      </c>
      <c r="G409" s="160" t="s">
        <v>229</v>
      </c>
    </row>
    <row r="410" spans="1:14" ht="40.5">
      <c r="A410" s="155">
        <f t="shared" si="6"/>
        <v>404</v>
      </c>
      <c r="B410" s="296" t="s">
        <v>319</v>
      </c>
      <c r="C410" s="341" t="s">
        <v>235</v>
      </c>
      <c r="D410" s="342"/>
      <c r="E410" s="38"/>
      <c r="F410" s="166" t="s">
        <v>240</v>
      </c>
      <c r="G410" s="160" t="s">
        <v>361</v>
      </c>
    </row>
    <row r="411" spans="1:14" ht="30" customHeight="1">
      <c r="A411" s="155">
        <f t="shared" si="6"/>
        <v>405</v>
      </c>
      <c r="B411" s="296" t="s">
        <v>319</v>
      </c>
      <c r="C411" s="341" t="s">
        <v>242</v>
      </c>
      <c r="D411" s="342"/>
      <c r="E411" s="38"/>
      <c r="F411" s="166" t="s">
        <v>241</v>
      </c>
      <c r="G411" s="160" t="s">
        <v>400</v>
      </c>
    </row>
    <row r="412" spans="1:14" ht="30" customHeight="1">
      <c r="A412" s="155">
        <f t="shared" si="6"/>
        <v>406</v>
      </c>
      <c r="B412" s="296" t="s">
        <v>319</v>
      </c>
      <c r="C412" s="341" t="s">
        <v>234</v>
      </c>
      <c r="D412" s="342"/>
      <c r="E412" s="90"/>
      <c r="F412" s="167">
        <v>10000000000</v>
      </c>
      <c r="G412" s="160" t="s">
        <v>306</v>
      </c>
    </row>
    <row r="413" spans="1:14" ht="30" customHeight="1">
      <c r="A413" s="155">
        <f t="shared" si="6"/>
        <v>407</v>
      </c>
      <c r="B413" s="296" t="s">
        <v>319</v>
      </c>
      <c r="C413" s="344" t="s">
        <v>292</v>
      </c>
      <c r="D413" s="342"/>
      <c r="E413" s="38"/>
      <c r="F413" s="166" t="s">
        <v>230</v>
      </c>
      <c r="G413" s="160"/>
    </row>
    <row r="414" spans="1:14" ht="30" customHeight="1">
      <c r="A414" s="187">
        <f t="shared" si="6"/>
        <v>408</v>
      </c>
      <c r="B414" s="297" t="s">
        <v>320</v>
      </c>
      <c r="C414" s="346" t="s">
        <v>213</v>
      </c>
      <c r="D414" s="347"/>
      <c r="E414" s="38"/>
      <c r="F414" s="196" t="s">
        <v>318</v>
      </c>
      <c r="G414" s="193" t="s">
        <v>403</v>
      </c>
      <c r="L414" s="69"/>
      <c r="M414" s="69"/>
      <c r="N414" s="69"/>
    </row>
    <row r="415" spans="1:14" ht="30" customHeight="1">
      <c r="A415" s="187">
        <f t="shared" si="6"/>
        <v>409</v>
      </c>
      <c r="B415" s="297" t="s">
        <v>320</v>
      </c>
      <c r="C415" s="346" t="s">
        <v>74</v>
      </c>
      <c r="D415" s="189" t="s">
        <v>125</v>
      </c>
      <c r="E415" s="38"/>
      <c r="F415" s="192" t="s">
        <v>75</v>
      </c>
      <c r="G415" s="193" t="s">
        <v>76</v>
      </c>
    </row>
    <row r="416" spans="1:14" ht="30" customHeight="1">
      <c r="A416" s="187">
        <f t="shared" si="6"/>
        <v>410</v>
      </c>
      <c r="B416" s="297" t="s">
        <v>320</v>
      </c>
      <c r="C416" s="346"/>
      <c r="D416" s="191" t="s">
        <v>198</v>
      </c>
      <c r="E416" s="40"/>
      <c r="F416" s="192" t="s">
        <v>199</v>
      </c>
      <c r="G416" s="193" t="s">
        <v>202</v>
      </c>
    </row>
    <row r="417" spans="1:7" ht="40.5">
      <c r="A417" s="187">
        <f t="shared" si="6"/>
        <v>411</v>
      </c>
      <c r="B417" s="297" t="s">
        <v>320</v>
      </c>
      <c r="C417" s="346"/>
      <c r="D417" s="191" t="s">
        <v>227</v>
      </c>
      <c r="E417" s="38"/>
      <c r="F417" s="192" t="s">
        <v>201</v>
      </c>
      <c r="G417" s="193" t="s">
        <v>290</v>
      </c>
    </row>
    <row r="418" spans="1:7" ht="30" customHeight="1">
      <c r="A418" s="187">
        <f t="shared" si="6"/>
        <v>412</v>
      </c>
      <c r="B418" s="297" t="s">
        <v>320</v>
      </c>
      <c r="C418" s="346"/>
      <c r="D418" s="191" t="s">
        <v>77</v>
      </c>
      <c r="E418" s="38"/>
      <c r="F418" s="192" t="s">
        <v>78</v>
      </c>
      <c r="G418" s="193" t="s">
        <v>205</v>
      </c>
    </row>
    <row r="419" spans="1:7" ht="30" customHeight="1">
      <c r="A419" s="187">
        <f t="shared" si="6"/>
        <v>413</v>
      </c>
      <c r="B419" s="297" t="s">
        <v>320</v>
      </c>
      <c r="C419" s="346"/>
      <c r="D419" s="191" t="s">
        <v>79</v>
      </c>
      <c r="E419" s="38"/>
      <c r="F419" s="192" t="s">
        <v>80</v>
      </c>
      <c r="G419" s="193" t="s">
        <v>204</v>
      </c>
    </row>
    <row r="420" spans="1:7" ht="30" customHeight="1">
      <c r="A420" s="187">
        <f t="shared" si="6"/>
        <v>414</v>
      </c>
      <c r="B420" s="297" t="s">
        <v>320</v>
      </c>
      <c r="C420" s="346"/>
      <c r="D420" s="191" t="s">
        <v>82</v>
      </c>
      <c r="E420" s="38"/>
      <c r="F420" s="192" t="s">
        <v>207</v>
      </c>
      <c r="G420" s="193" t="s">
        <v>84</v>
      </c>
    </row>
    <row r="421" spans="1:7" ht="30" customHeight="1">
      <c r="A421" s="187">
        <f t="shared" si="6"/>
        <v>415</v>
      </c>
      <c r="B421" s="297" t="s">
        <v>320</v>
      </c>
      <c r="C421" s="346"/>
      <c r="D421" s="191" t="s">
        <v>85</v>
      </c>
      <c r="E421" s="38"/>
      <c r="F421" s="192" t="s">
        <v>86</v>
      </c>
      <c r="G421" s="193" t="s">
        <v>203</v>
      </c>
    </row>
    <row r="422" spans="1:7" ht="30" customHeight="1">
      <c r="A422" s="187">
        <f t="shared" si="6"/>
        <v>416</v>
      </c>
      <c r="B422" s="297" t="s">
        <v>320</v>
      </c>
      <c r="C422" s="345" t="s">
        <v>102</v>
      </c>
      <c r="D422" s="191" t="s">
        <v>88</v>
      </c>
      <c r="E422" s="38"/>
      <c r="F422" s="192" t="s">
        <v>89</v>
      </c>
      <c r="G422" s="194" t="s">
        <v>206</v>
      </c>
    </row>
    <row r="423" spans="1:7" ht="30" customHeight="1">
      <c r="A423" s="187">
        <f t="shared" si="6"/>
        <v>417</v>
      </c>
      <c r="B423" s="297" t="s">
        <v>320</v>
      </c>
      <c r="C423" s="346"/>
      <c r="D423" s="191" t="s">
        <v>98</v>
      </c>
      <c r="E423" s="38"/>
      <c r="F423" s="195" t="s">
        <v>91</v>
      </c>
      <c r="G423" s="194" t="s">
        <v>206</v>
      </c>
    </row>
    <row r="424" spans="1:7" ht="30" customHeight="1">
      <c r="A424" s="187">
        <f t="shared" si="6"/>
        <v>418</v>
      </c>
      <c r="B424" s="297" t="s">
        <v>320</v>
      </c>
      <c r="C424" s="346"/>
      <c r="D424" s="191" t="s">
        <v>92</v>
      </c>
      <c r="E424" s="39"/>
      <c r="F424" s="196" t="s">
        <v>208</v>
      </c>
      <c r="G424" s="194" t="s">
        <v>206</v>
      </c>
    </row>
    <row r="425" spans="1:7" ht="30" customHeight="1">
      <c r="A425" s="187">
        <f t="shared" si="6"/>
        <v>419</v>
      </c>
      <c r="B425" s="297" t="s">
        <v>320</v>
      </c>
      <c r="C425" s="346"/>
      <c r="D425" s="191" t="s">
        <v>82</v>
      </c>
      <c r="E425" s="39"/>
      <c r="F425" s="192" t="s">
        <v>207</v>
      </c>
      <c r="G425" s="193" t="s">
        <v>84</v>
      </c>
    </row>
    <row r="426" spans="1:7" ht="30" customHeight="1">
      <c r="A426" s="187">
        <f t="shared" si="6"/>
        <v>420</v>
      </c>
      <c r="B426" s="297" t="s">
        <v>320</v>
      </c>
      <c r="C426" s="346"/>
      <c r="D426" s="191" t="s">
        <v>85</v>
      </c>
      <c r="E426" s="39"/>
      <c r="F426" s="192" t="s">
        <v>86</v>
      </c>
      <c r="G426" s="193" t="s">
        <v>87</v>
      </c>
    </row>
    <row r="427" spans="1:7" ht="30" customHeight="1">
      <c r="A427" s="187">
        <f t="shared" si="6"/>
        <v>421</v>
      </c>
      <c r="B427" s="297" t="s">
        <v>320</v>
      </c>
      <c r="C427" s="346"/>
      <c r="D427" s="191" t="s">
        <v>95</v>
      </c>
      <c r="E427" s="38"/>
      <c r="F427" s="192" t="s">
        <v>233</v>
      </c>
      <c r="G427" s="193" t="s">
        <v>94</v>
      </c>
    </row>
    <row r="428" spans="1:7" ht="30" customHeight="1">
      <c r="A428" s="187">
        <f t="shared" si="6"/>
        <v>422</v>
      </c>
      <c r="B428" s="297" t="s">
        <v>320</v>
      </c>
      <c r="C428" s="346"/>
      <c r="D428" s="191" t="s">
        <v>96</v>
      </c>
      <c r="E428" s="40"/>
      <c r="F428" s="197" t="s">
        <v>209</v>
      </c>
      <c r="G428" s="194" t="s">
        <v>206</v>
      </c>
    </row>
    <row r="429" spans="1:7" ht="30" customHeight="1">
      <c r="A429" s="187">
        <f t="shared" si="6"/>
        <v>423</v>
      </c>
      <c r="B429" s="297" t="s">
        <v>320</v>
      </c>
      <c r="C429" s="346" t="s">
        <v>99</v>
      </c>
      <c r="D429" s="347"/>
      <c r="E429" s="90"/>
      <c r="F429" s="196">
        <v>15000000</v>
      </c>
      <c r="G429" s="193" t="s">
        <v>305</v>
      </c>
    </row>
    <row r="430" spans="1:7" ht="30" customHeight="1">
      <c r="A430" s="187">
        <f t="shared" si="6"/>
        <v>424</v>
      </c>
      <c r="B430" s="297" t="s">
        <v>320</v>
      </c>
      <c r="C430" s="348" t="s">
        <v>228</v>
      </c>
      <c r="D430" s="347"/>
      <c r="E430" s="138"/>
      <c r="F430" s="198">
        <v>50</v>
      </c>
      <c r="G430" s="193" t="s">
        <v>229</v>
      </c>
    </row>
    <row r="431" spans="1:7" ht="40.5">
      <c r="A431" s="187">
        <f t="shared" si="6"/>
        <v>425</v>
      </c>
      <c r="B431" s="297" t="s">
        <v>320</v>
      </c>
      <c r="C431" s="346" t="s">
        <v>235</v>
      </c>
      <c r="D431" s="347"/>
      <c r="E431" s="38"/>
      <c r="F431" s="199" t="s">
        <v>240</v>
      </c>
      <c r="G431" s="193" t="s">
        <v>361</v>
      </c>
    </row>
    <row r="432" spans="1:7" ht="30" customHeight="1">
      <c r="A432" s="187">
        <f t="shared" si="6"/>
        <v>426</v>
      </c>
      <c r="B432" s="297" t="s">
        <v>320</v>
      </c>
      <c r="C432" s="346" t="s">
        <v>242</v>
      </c>
      <c r="D432" s="347"/>
      <c r="E432" s="38"/>
      <c r="F432" s="199" t="s">
        <v>241</v>
      </c>
      <c r="G432" s="193" t="s">
        <v>400</v>
      </c>
    </row>
    <row r="433" spans="1:14" ht="30" customHeight="1">
      <c r="A433" s="187">
        <f t="shared" si="6"/>
        <v>427</v>
      </c>
      <c r="B433" s="297" t="s">
        <v>320</v>
      </c>
      <c r="C433" s="346" t="s">
        <v>234</v>
      </c>
      <c r="D433" s="347"/>
      <c r="E433" s="90"/>
      <c r="F433" s="200">
        <v>10000000000</v>
      </c>
      <c r="G433" s="193" t="s">
        <v>306</v>
      </c>
    </row>
    <row r="434" spans="1:14" ht="30" customHeight="1">
      <c r="A434" s="187">
        <f t="shared" ref="A434:A475" si="7">ROW()-6</f>
        <v>428</v>
      </c>
      <c r="B434" s="297" t="s">
        <v>320</v>
      </c>
      <c r="C434" s="348" t="s">
        <v>292</v>
      </c>
      <c r="D434" s="347"/>
      <c r="E434" s="38"/>
      <c r="F434" s="199" t="s">
        <v>230</v>
      </c>
      <c r="G434" s="193"/>
    </row>
    <row r="435" spans="1:14" ht="30" customHeight="1">
      <c r="A435" s="203">
        <f t="shared" si="7"/>
        <v>429</v>
      </c>
      <c r="B435" s="284" t="s">
        <v>321</v>
      </c>
      <c r="C435" s="349" t="s">
        <v>213</v>
      </c>
      <c r="D435" s="350"/>
      <c r="E435" s="38"/>
      <c r="F435" s="208" t="s">
        <v>318</v>
      </c>
      <c r="G435" s="209" t="s">
        <v>403</v>
      </c>
      <c r="L435" s="69"/>
      <c r="M435" s="69"/>
      <c r="N435" s="69"/>
    </row>
    <row r="436" spans="1:14" ht="30" customHeight="1">
      <c r="A436" s="203">
        <f t="shared" si="7"/>
        <v>430</v>
      </c>
      <c r="B436" s="284" t="s">
        <v>321</v>
      </c>
      <c r="C436" s="349" t="s">
        <v>74</v>
      </c>
      <c r="D436" s="206" t="s">
        <v>125</v>
      </c>
      <c r="E436" s="38"/>
      <c r="F436" s="210" t="s">
        <v>75</v>
      </c>
      <c r="G436" s="209" t="s">
        <v>76</v>
      </c>
    </row>
    <row r="437" spans="1:14" ht="30" customHeight="1">
      <c r="A437" s="203">
        <f t="shared" si="7"/>
        <v>431</v>
      </c>
      <c r="B437" s="284" t="s">
        <v>321</v>
      </c>
      <c r="C437" s="349"/>
      <c r="D437" s="207" t="s">
        <v>198</v>
      </c>
      <c r="E437" s="40"/>
      <c r="F437" s="210" t="s">
        <v>199</v>
      </c>
      <c r="G437" s="209" t="s">
        <v>202</v>
      </c>
    </row>
    <row r="438" spans="1:14" ht="40.5">
      <c r="A438" s="203">
        <f t="shared" si="7"/>
        <v>432</v>
      </c>
      <c r="B438" s="284" t="s">
        <v>321</v>
      </c>
      <c r="C438" s="349"/>
      <c r="D438" s="207" t="s">
        <v>227</v>
      </c>
      <c r="E438" s="38"/>
      <c r="F438" s="210" t="s">
        <v>201</v>
      </c>
      <c r="G438" s="209" t="s">
        <v>290</v>
      </c>
    </row>
    <row r="439" spans="1:14" ht="30" customHeight="1">
      <c r="A439" s="203">
        <f t="shared" si="7"/>
        <v>433</v>
      </c>
      <c r="B439" s="284" t="s">
        <v>321</v>
      </c>
      <c r="C439" s="349"/>
      <c r="D439" s="207" t="s">
        <v>77</v>
      </c>
      <c r="E439" s="38"/>
      <c r="F439" s="210" t="s">
        <v>78</v>
      </c>
      <c r="G439" s="209" t="s">
        <v>205</v>
      </c>
    </row>
    <row r="440" spans="1:14" ht="30" customHeight="1">
      <c r="A440" s="203">
        <f t="shared" si="7"/>
        <v>434</v>
      </c>
      <c r="B440" s="284" t="s">
        <v>321</v>
      </c>
      <c r="C440" s="349"/>
      <c r="D440" s="207" t="s">
        <v>79</v>
      </c>
      <c r="E440" s="38"/>
      <c r="F440" s="210" t="s">
        <v>80</v>
      </c>
      <c r="G440" s="209" t="s">
        <v>204</v>
      </c>
    </row>
    <row r="441" spans="1:14" ht="30" customHeight="1">
      <c r="A441" s="203">
        <f t="shared" si="7"/>
        <v>435</v>
      </c>
      <c r="B441" s="284" t="s">
        <v>321</v>
      </c>
      <c r="C441" s="349"/>
      <c r="D441" s="207" t="s">
        <v>82</v>
      </c>
      <c r="E441" s="38"/>
      <c r="F441" s="210" t="s">
        <v>207</v>
      </c>
      <c r="G441" s="209" t="s">
        <v>84</v>
      </c>
    </row>
    <row r="442" spans="1:14" ht="30" customHeight="1">
      <c r="A442" s="203">
        <f t="shared" si="7"/>
        <v>436</v>
      </c>
      <c r="B442" s="284" t="s">
        <v>321</v>
      </c>
      <c r="C442" s="349"/>
      <c r="D442" s="207" t="s">
        <v>85</v>
      </c>
      <c r="E442" s="38"/>
      <c r="F442" s="210" t="s">
        <v>86</v>
      </c>
      <c r="G442" s="209" t="s">
        <v>203</v>
      </c>
    </row>
    <row r="443" spans="1:14" ht="30" customHeight="1">
      <c r="A443" s="203">
        <f t="shared" si="7"/>
        <v>437</v>
      </c>
      <c r="B443" s="284" t="s">
        <v>321</v>
      </c>
      <c r="C443" s="351" t="s">
        <v>102</v>
      </c>
      <c r="D443" s="207" t="s">
        <v>88</v>
      </c>
      <c r="E443" s="38"/>
      <c r="F443" s="210" t="s">
        <v>89</v>
      </c>
      <c r="G443" s="211" t="s">
        <v>206</v>
      </c>
    </row>
    <row r="444" spans="1:14" ht="30" customHeight="1">
      <c r="A444" s="203">
        <f t="shared" si="7"/>
        <v>438</v>
      </c>
      <c r="B444" s="284" t="s">
        <v>321</v>
      </c>
      <c r="C444" s="349"/>
      <c r="D444" s="207" t="s">
        <v>98</v>
      </c>
      <c r="E444" s="38"/>
      <c r="F444" s="212" t="s">
        <v>91</v>
      </c>
      <c r="G444" s="211" t="s">
        <v>206</v>
      </c>
    </row>
    <row r="445" spans="1:14" ht="30" customHeight="1">
      <c r="A445" s="203">
        <f t="shared" si="7"/>
        <v>439</v>
      </c>
      <c r="B445" s="284" t="s">
        <v>321</v>
      </c>
      <c r="C445" s="349"/>
      <c r="D445" s="207" t="s">
        <v>92</v>
      </c>
      <c r="E445" s="39"/>
      <c r="F445" s="208" t="s">
        <v>208</v>
      </c>
      <c r="G445" s="211" t="s">
        <v>206</v>
      </c>
    </row>
    <row r="446" spans="1:14" ht="30" customHeight="1">
      <c r="A446" s="203">
        <f t="shared" si="7"/>
        <v>440</v>
      </c>
      <c r="B446" s="284" t="s">
        <v>321</v>
      </c>
      <c r="C446" s="349"/>
      <c r="D446" s="207" t="s">
        <v>82</v>
      </c>
      <c r="E446" s="39"/>
      <c r="F446" s="210" t="s">
        <v>207</v>
      </c>
      <c r="G446" s="209" t="s">
        <v>84</v>
      </c>
    </row>
    <row r="447" spans="1:14" ht="30" customHeight="1">
      <c r="A447" s="203">
        <f t="shared" si="7"/>
        <v>441</v>
      </c>
      <c r="B447" s="284" t="s">
        <v>321</v>
      </c>
      <c r="C447" s="349"/>
      <c r="D447" s="207" t="s">
        <v>85</v>
      </c>
      <c r="E447" s="39"/>
      <c r="F447" s="210" t="s">
        <v>86</v>
      </c>
      <c r="G447" s="209" t="s">
        <v>87</v>
      </c>
    </row>
    <row r="448" spans="1:14" ht="30" customHeight="1">
      <c r="A448" s="203">
        <f t="shared" si="7"/>
        <v>442</v>
      </c>
      <c r="B448" s="284" t="s">
        <v>321</v>
      </c>
      <c r="C448" s="349"/>
      <c r="D448" s="207" t="s">
        <v>95</v>
      </c>
      <c r="E448" s="38"/>
      <c r="F448" s="210" t="s">
        <v>233</v>
      </c>
      <c r="G448" s="209" t="s">
        <v>94</v>
      </c>
    </row>
    <row r="449" spans="1:14" ht="30" customHeight="1">
      <c r="A449" s="203">
        <f t="shared" si="7"/>
        <v>443</v>
      </c>
      <c r="B449" s="284" t="s">
        <v>321</v>
      </c>
      <c r="C449" s="349"/>
      <c r="D449" s="207" t="s">
        <v>96</v>
      </c>
      <c r="E449" s="40"/>
      <c r="F449" s="213" t="s">
        <v>209</v>
      </c>
      <c r="G449" s="211" t="s">
        <v>206</v>
      </c>
    </row>
    <row r="450" spans="1:14" ht="30" customHeight="1">
      <c r="A450" s="203">
        <f t="shared" si="7"/>
        <v>444</v>
      </c>
      <c r="B450" s="284" t="s">
        <v>321</v>
      </c>
      <c r="C450" s="349" t="s">
        <v>99</v>
      </c>
      <c r="D450" s="350"/>
      <c r="E450" s="90"/>
      <c r="F450" s="208">
        <v>15000000</v>
      </c>
      <c r="G450" s="209" t="s">
        <v>305</v>
      </c>
    </row>
    <row r="451" spans="1:14" ht="30" customHeight="1">
      <c r="A451" s="203">
        <f t="shared" si="7"/>
        <v>445</v>
      </c>
      <c r="B451" s="284" t="s">
        <v>321</v>
      </c>
      <c r="C451" s="352" t="s">
        <v>228</v>
      </c>
      <c r="D451" s="350"/>
      <c r="E451" s="138"/>
      <c r="F451" s="214">
        <v>50</v>
      </c>
      <c r="G451" s="209" t="s">
        <v>229</v>
      </c>
    </row>
    <row r="452" spans="1:14" ht="40.5">
      <c r="A452" s="203">
        <f t="shared" si="7"/>
        <v>446</v>
      </c>
      <c r="B452" s="284" t="s">
        <v>321</v>
      </c>
      <c r="C452" s="349" t="s">
        <v>235</v>
      </c>
      <c r="D452" s="350"/>
      <c r="E452" s="38"/>
      <c r="F452" s="215" t="s">
        <v>240</v>
      </c>
      <c r="G452" s="209" t="s">
        <v>361</v>
      </c>
    </row>
    <row r="453" spans="1:14" ht="30" customHeight="1">
      <c r="A453" s="203">
        <f t="shared" si="7"/>
        <v>447</v>
      </c>
      <c r="B453" s="284" t="s">
        <v>321</v>
      </c>
      <c r="C453" s="349" t="s">
        <v>242</v>
      </c>
      <c r="D453" s="350"/>
      <c r="E453" s="38"/>
      <c r="F453" s="215" t="s">
        <v>241</v>
      </c>
      <c r="G453" s="209" t="s">
        <v>400</v>
      </c>
    </row>
    <row r="454" spans="1:14" ht="30" customHeight="1">
      <c r="A454" s="203">
        <f t="shared" si="7"/>
        <v>448</v>
      </c>
      <c r="B454" s="284" t="s">
        <v>321</v>
      </c>
      <c r="C454" s="349" t="s">
        <v>234</v>
      </c>
      <c r="D454" s="350"/>
      <c r="E454" s="90"/>
      <c r="F454" s="216">
        <v>10000000000</v>
      </c>
      <c r="G454" s="209" t="s">
        <v>306</v>
      </c>
    </row>
    <row r="455" spans="1:14" ht="30" customHeight="1">
      <c r="A455" s="203">
        <f t="shared" si="7"/>
        <v>449</v>
      </c>
      <c r="B455" s="284" t="s">
        <v>321</v>
      </c>
      <c r="C455" s="352" t="s">
        <v>292</v>
      </c>
      <c r="D455" s="350"/>
      <c r="E455" s="38"/>
      <c r="F455" s="215" t="s">
        <v>230</v>
      </c>
      <c r="G455" s="209"/>
    </row>
    <row r="456" spans="1:14" ht="30" customHeight="1">
      <c r="A456" s="219">
        <f t="shared" si="7"/>
        <v>450</v>
      </c>
      <c r="B456" s="285" t="s">
        <v>322</v>
      </c>
      <c r="C456" s="355" t="s">
        <v>213</v>
      </c>
      <c r="D456" s="354"/>
      <c r="E456" s="38"/>
      <c r="F456" s="286" t="s">
        <v>216</v>
      </c>
      <c r="G456" s="225" t="s">
        <v>403</v>
      </c>
      <c r="L456" s="69"/>
      <c r="M456" s="69"/>
      <c r="N456" s="69"/>
    </row>
    <row r="457" spans="1:14" ht="30" customHeight="1">
      <c r="A457" s="219">
        <f t="shared" si="7"/>
        <v>451</v>
      </c>
      <c r="B457" s="285" t="s">
        <v>322</v>
      </c>
      <c r="C457" s="355" t="s">
        <v>74</v>
      </c>
      <c r="D457" s="221" t="s">
        <v>125</v>
      </c>
      <c r="E457" s="38"/>
      <c r="F457" s="224" t="s">
        <v>75</v>
      </c>
      <c r="G457" s="225" t="s">
        <v>76</v>
      </c>
    </row>
    <row r="458" spans="1:14" ht="30" customHeight="1">
      <c r="A458" s="219">
        <f t="shared" si="7"/>
        <v>452</v>
      </c>
      <c r="B458" s="285" t="s">
        <v>322</v>
      </c>
      <c r="C458" s="355"/>
      <c r="D458" s="223" t="s">
        <v>198</v>
      </c>
      <c r="E458" s="40"/>
      <c r="F458" s="224" t="s">
        <v>199</v>
      </c>
      <c r="G458" s="225" t="s">
        <v>202</v>
      </c>
    </row>
    <row r="459" spans="1:14" ht="40.5">
      <c r="A459" s="219">
        <f t="shared" si="7"/>
        <v>453</v>
      </c>
      <c r="B459" s="285" t="s">
        <v>322</v>
      </c>
      <c r="C459" s="355"/>
      <c r="D459" s="223" t="s">
        <v>227</v>
      </c>
      <c r="E459" s="38"/>
      <c r="F459" s="224" t="s">
        <v>201</v>
      </c>
      <c r="G459" s="225" t="s">
        <v>290</v>
      </c>
    </row>
    <row r="460" spans="1:14" ht="30" customHeight="1">
      <c r="A460" s="219">
        <f t="shared" si="7"/>
        <v>454</v>
      </c>
      <c r="B460" s="285" t="s">
        <v>322</v>
      </c>
      <c r="C460" s="355"/>
      <c r="D460" s="223" t="s">
        <v>77</v>
      </c>
      <c r="E460" s="38"/>
      <c r="F460" s="224" t="s">
        <v>78</v>
      </c>
      <c r="G460" s="225" t="s">
        <v>205</v>
      </c>
    </row>
    <row r="461" spans="1:14" ht="30" customHeight="1">
      <c r="A461" s="219">
        <f t="shared" si="7"/>
        <v>455</v>
      </c>
      <c r="B461" s="285" t="s">
        <v>322</v>
      </c>
      <c r="C461" s="355"/>
      <c r="D461" s="223" t="s">
        <v>79</v>
      </c>
      <c r="E461" s="38"/>
      <c r="F461" s="224" t="s">
        <v>80</v>
      </c>
      <c r="G461" s="225" t="s">
        <v>204</v>
      </c>
    </row>
    <row r="462" spans="1:14" ht="30" customHeight="1">
      <c r="A462" s="219">
        <f t="shared" si="7"/>
        <v>456</v>
      </c>
      <c r="B462" s="285" t="s">
        <v>322</v>
      </c>
      <c r="C462" s="355"/>
      <c r="D462" s="223" t="s">
        <v>82</v>
      </c>
      <c r="E462" s="38"/>
      <c r="F462" s="224" t="s">
        <v>207</v>
      </c>
      <c r="G462" s="225" t="s">
        <v>84</v>
      </c>
    </row>
    <row r="463" spans="1:14" ht="30" customHeight="1">
      <c r="A463" s="219">
        <f t="shared" si="7"/>
        <v>457</v>
      </c>
      <c r="B463" s="285" t="s">
        <v>322</v>
      </c>
      <c r="C463" s="355"/>
      <c r="D463" s="223" t="s">
        <v>85</v>
      </c>
      <c r="E463" s="38"/>
      <c r="F463" s="224" t="s">
        <v>86</v>
      </c>
      <c r="G463" s="225" t="s">
        <v>203</v>
      </c>
    </row>
    <row r="464" spans="1:14" ht="30" customHeight="1">
      <c r="A464" s="219">
        <f t="shared" si="7"/>
        <v>458</v>
      </c>
      <c r="B464" s="285" t="s">
        <v>322</v>
      </c>
      <c r="C464" s="356" t="s">
        <v>102</v>
      </c>
      <c r="D464" s="223" t="s">
        <v>88</v>
      </c>
      <c r="E464" s="38"/>
      <c r="F464" s="224" t="s">
        <v>89</v>
      </c>
      <c r="G464" s="226" t="s">
        <v>206</v>
      </c>
    </row>
    <row r="465" spans="1:14" ht="30" customHeight="1">
      <c r="A465" s="219">
        <f t="shared" si="7"/>
        <v>459</v>
      </c>
      <c r="B465" s="285" t="s">
        <v>322</v>
      </c>
      <c r="C465" s="355"/>
      <c r="D465" s="223" t="s">
        <v>98</v>
      </c>
      <c r="E465" s="38"/>
      <c r="F465" s="227" t="s">
        <v>91</v>
      </c>
      <c r="G465" s="226" t="s">
        <v>206</v>
      </c>
    </row>
    <row r="466" spans="1:14" ht="30" customHeight="1">
      <c r="A466" s="219">
        <f t="shared" si="7"/>
        <v>460</v>
      </c>
      <c r="B466" s="285" t="s">
        <v>322</v>
      </c>
      <c r="C466" s="355"/>
      <c r="D466" s="223" t="s">
        <v>92</v>
      </c>
      <c r="E466" s="39"/>
      <c r="F466" s="228" t="s">
        <v>208</v>
      </c>
      <c r="G466" s="226" t="s">
        <v>206</v>
      </c>
    </row>
    <row r="467" spans="1:14" ht="30" customHeight="1">
      <c r="A467" s="219">
        <f t="shared" si="7"/>
        <v>461</v>
      </c>
      <c r="B467" s="285" t="s">
        <v>322</v>
      </c>
      <c r="C467" s="355"/>
      <c r="D467" s="223" t="s">
        <v>82</v>
      </c>
      <c r="E467" s="39"/>
      <c r="F467" s="224" t="s">
        <v>207</v>
      </c>
      <c r="G467" s="225" t="s">
        <v>84</v>
      </c>
    </row>
    <row r="468" spans="1:14" ht="30" customHeight="1">
      <c r="A468" s="219">
        <f t="shared" si="7"/>
        <v>462</v>
      </c>
      <c r="B468" s="285" t="s">
        <v>322</v>
      </c>
      <c r="C468" s="355"/>
      <c r="D468" s="223" t="s">
        <v>85</v>
      </c>
      <c r="E468" s="39"/>
      <c r="F468" s="224" t="s">
        <v>86</v>
      </c>
      <c r="G468" s="225" t="s">
        <v>87</v>
      </c>
    </row>
    <row r="469" spans="1:14" ht="30" customHeight="1">
      <c r="A469" s="219">
        <f t="shared" si="7"/>
        <v>463</v>
      </c>
      <c r="B469" s="285" t="s">
        <v>322</v>
      </c>
      <c r="C469" s="355"/>
      <c r="D469" s="223" t="s">
        <v>95</v>
      </c>
      <c r="E469" s="38"/>
      <c r="F469" s="224" t="s">
        <v>233</v>
      </c>
      <c r="G469" s="225" t="s">
        <v>94</v>
      </c>
    </row>
    <row r="470" spans="1:14" ht="30" customHeight="1">
      <c r="A470" s="219">
        <f t="shared" si="7"/>
        <v>464</v>
      </c>
      <c r="B470" s="285" t="s">
        <v>322</v>
      </c>
      <c r="C470" s="355"/>
      <c r="D470" s="223" t="s">
        <v>96</v>
      </c>
      <c r="E470" s="40"/>
      <c r="F470" s="229" t="s">
        <v>209</v>
      </c>
      <c r="G470" s="226" t="s">
        <v>206</v>
      </c>
    </row>
    <row r="471" spans="1:14" ht="30" customHeight="1">
      <c r="A471" s="219">
        <f t="shared" si="7"/>
        <v>465</v>
      </c>
      <c r="B471" s="285" t="s">
        <v>322</v>
      </c>
      <c r="C471" s="355" t="s">
        <v>99</v>
      </c>
      <c r="D471" s="354"/>
      <c r="E471" s="90"/>
      <c r="F471" s="228">
        <v>15000000</v>
      </c>
      <c r="G471" s="225" t="s">
        <v>305</v>
      </c>
    </row>
    <row r="472" spans="1:14" ht="30" customHeight="1">
      <c r="A472" s="219">
        <f t="shared" si="7"/>
        <v>466</v>
      </c>
      <c r="B472" s="285" t="s">
        <v>322</v>
      </c>
      <c r="C472" s="353" t="s">
        <v>228</v>
      </c>
      <c r="D472" s="354"/>
      <c r="E472" s="138"/>
      <c r="F472" s="230">
        <v>50</v>
      </c>
      <c r="G472" s="225" t="s">
        <v>229</v>
      </c>
    </row>
    <row r="473" spans="1:14" ht="40.5">
      <c r="A473" s="219">
        <f t="shared" si="7"/>
        <v>467</v>
      </c>
      <c r="B473" s="285" t="s">
        <v>322</v>
      </c>
      <c r="C473" s="355" t="s">
        <v>235</v>
      </c>
      <c r="D473" s="354"/>
      <c r="E473" s="38"/>
      <c r="F473" s="231" t="s">
        <v>240</v>
      </c>
      <c r="G473" s="225" t="s">
        <v>361</v>
      </c>
    </row>
    <row r="474" spans="1:14" ht="30" customHeight="1">
      <c r="A474" s="219">
        <f t="shared" si="7"/>
        <v>468</v>
      </c>
      <c r="B474" s="285" t="s">
        <v>322</v>
      </c>
      <c r="C474" s="355" t="s">
        <v>242</v>
      </c>
      <c r="D474" s="354"/>
      <c r="E474" s="38"/>
      <c r="F474" s="231" t="s">
        <v>241</v>
      </c>
      <c r="G474" s="225" t="s">
        <v>400</v>
      </c>
    </row>
    <row r="475" spans="1:14" ht="30" customHeight="1">
      <c r="A475" s="219">
        <f t="shared" si="7"/>
        <v>469</v>
      </c>
      <c r="B475" s="285" t="s">
        <v>322</v>
      </c>
      <c r="C475" s="355" t="s">
        <v>234</v>
      </c>
      <c r="D475" s="354"/>
      <c r="E475" s="90"/>
      <c r="F475" s="232">
        <v>10000000000</v>
      </c>
      <c r="G475" s="225" t="s">
        <v>306</v>
      </c>
    </row>
    <row r="476" spans="1:14" ht="30" customHeight="1">
      <c r="A476" s="219">
        <f t="shared" ref="A476:A539" si="8">ROW()-6</f>
        <v>470</v>
      </c>
      <c r="B476" s="285" t="s">
        <v>322</v>
      </c>
      <c r="C476" s="353" t="s">
        <v>292</v>
      </c>
      <c r="D476" s="354"/>
      <c r="E476" s="38"/>
      <c r="F476" s="231" t="s">
        <v>230</v>
      </c>
      <c r="G476" s="225"/>
    </row>
    <row r="477" spans="1:14" ht="30" customHeight="1">
      <c r="A477" s="235">
        <f t="shared" si="8"/>
        <v>471</v>
      </c>
      <c r="B477" s="287" t="s">
        <v>323</v>
      </c>
      <c r="C477" s="357" t="s">
        <v>213</v>
      </c>
      <c r="D477" s="358"/>
      <c r="E477" s="38"/>
      <c r="F477" s="299" t="s">
        <v>216</v>
      </c>
      <c r="G477" s="241" t="s">
        <v>403</v>
      </c>
      <c r="L477" s="69"/>
      <c r="M477" s="69"/>
      <c r="N477" s="69"/>
    </row>
    <row r="478" spans="1:14" ht="30" customHeight="1">
      <c r="A478" s="235">
        <f t="shared" si="8"/>
        <v>472</v>
      </c>
      <c r="B478" s="287" t="s">
        <v>323</v>
      </c>
      <c r="C478" s="357" t="s">
        <v>74</v>
      </c>
      <c r="D478" s="238" t="s">
        <v>125</v>
      </c>
      <c r="E478" s="38"/>
      <c r="F478" s="242" t="s">
        <v>75</v>
      </c>
      <c r="G478" s="241" t="s">
        <v>76</v>
      </c>
    </row>
    <row r="479" spans="1:14" ht="30" customHeight="1">
      <c r="A479" s="235">
        <f t="shared" si="8"/>
        <v>473</v>
      </c>
      <c r="B479" s="287" t="s">
        <v>323</v>
      </c>
      <c r="C479" s="357"/>
      <c r="D479" s="239" t="s">
        <v>198</v>
      </c>
      <c r="E479" s="40"/>
      <c r="F479" s="242" t="s">
        <v>199</v>
      </c>
      <c r="G479" s="241" t="s">
        <v>202</v>
      </c>
    </row>
    <row r="480" spans="1:14" ht="40.5">
      <c r="A480" s="235">
        <f t="shared" si="8"/>
        <v>474</v>
      </c>
      <c r="B480" s="287" t="s">
        <v>323</v>
      </c>
      <c r="C480" s="357"/>
      <c r="D480" s="239" t="s">
        <v>227</v>
      </c>
      <c r="E480" s="38"/>
      <c r="F480" s="242" t="s">
        <v>201</v>
      </c>
      <c r="G480" s="241" t="s">
        <v>290</v>
      </c>
    </row>
    <row r="481" spans="1:7" ht="30" customHeight="1">
      <c r="A481" s="235">
        <f t="shared" si="8"/>
        <v>475</v>
      </c>
      <c r="B481" s="287" t="s">
        <v>323</v>
      </c>
      <c r="C481" s="357"/>
      <c r="D481" s="239" t="s">
        <v>77</v>
      </c>
      <c r="E481" s="38"/>
      <c r="F481" s="242" t="s">
        <v>78</v>
      </c>
      <c r="G481" s="241" t="s">
        <v>205</v>
      </c>
    </row>
    <row r="482" spans="1:7" ht="30" customHeight="1">
      <c r="A482" s="235">
        <f t="shared" si="8"/>
        <v>476</v>
      </c>
      <c r="B482" s="287" t="s">
        <v>323</v>
      </c>
      <c r="C482" s="357"/>
      <c r="D482" s="239" t="s">
        <v>79</v>
      </c>
      <c r="E482" s="38"/>
      <c r="F482" s="242" t="s">
        <v>80</v>
      </c>
      <c r="G482" s="241" t="s">
        <v>204</v>
      </c>
    </row>
    <row r="483" spans="1:7" ht="30" customHeight="1">
      <c r="A483" s="235">
        <f t="shared" si="8"/>
        <v>477</v>
      </c>
      <c r="B483" s="287" t="s">
        <v>323</v>
      </c>
      <c r="C483" s="357"/>
      <c r="D483" s="239" t="s">
        <v>82</v>
      </c>
      <c r="E483" s="38"/>
      <c r="F483" s="242" t="s">
        <v>207</v>
      </c>
      <c r="G483" s="241" t="s">
        <v>84</v>
      </c>
    </row>
    <row r="484" spans="1:7" ht="30" customHeight="1">
      <c r="A484" s="235">
        <f t="shared" si="8"/>
        <v>478</v>
      </c>
      <c r="B484" s="287" t="s">
        <v>323</v>
      </c>
      <c r="C484" s="357"/>
      <c r="D484" s="239" t="s">
        <v>85</v>
      </c>
      <c r="E484" s="38"/>
      <c r="F484" s="242" t="s">
        <v>86</v>
      </c>
      <c r="G484" s="241" t="s">
        <v>203</v>
      </c>
    </row>
    <row r="485" spans="1:7" ht="30" customHeight="1">
      <c r="A485" s="235">
        <f t="shared" si="8"/>
        <v>479</v>
      </c>
      <c r="B485" s="287" t="s">
        <v>323</v>
      </c>
      <c r="C485" s="359" t="s">
        <v>102</v>
      </c>
      <c r="D485" s="239" t="s">
        <v>88</v>
      </c>
      <c r="E485" s="38"/>
      <c r="F485" s="242" t="s">
        <v>89</v>
      </c>
      <c r="G485" s="243" t="s">
        <v>206</v>
      </c>
    </row>
    <row r="486" spans="1:7" ht="30" customHeight="1">
      <c r="A486" s="235">
        <f t="shared" si="8"/>
        <v>480</v>
      </c>
      <c r="B486" s="287" t="s">
        <v>323</v>
      </c>
      <c r="C486" s="357"/>
      <c r="D486" s="239" t="s">
        <v>98</v>
      </c>
      <c r="E486" s="38"/>
      <c r="F486" s="244" t="s">
        <v>91</v>
      </c>
      <c r="G486" s="243" t="s">
        <v>206</v>
      </c>
    </row>
    <row r="487" spans="1:7" ht="30" customHeight="1">
      <c r="A487" s="235">
        <f t="shared" si="8"/>
        <v>481</v>
      </c>
      <c r="B487" s="287" t="s">
        <v>323</v>
      </c>
      <c r="C487" s="357"/>
      <c r="D487" s="239" t="s">
        <v>92</v>
      </c>
      <c r="E487" s="39"/>
      <c r="F487" s="240" t="s">
        <v>208</v>
      </c>
      <c r="G487" s="243" t="s">
        <v>206</v>
      </c>
    </row>
    <row r="488" spans="1:7" ht="30" customHeight="1">
      <c r="A488" s="235">
        <f t="shared" si="8"/>
        <v>482</v>
      </c>
      <c r="B488" s="287" t="s">
        <v>323</v>
      </c>
      <c r="C488" s="357"/>
      <c r="D488" s="239" t="s">
        <v>82</v>
      </c>
      <c r="E488" s="39"/>
      <c r="F488" s="242" t="s">
        <v>207</v>
      </c>
      <c r="G488" s="241" t="s">
        <v>84</v>
      </c>
    </row>
    <row r="489" spans="1:7" ht="30" customHeight="1">
      <c r="A489" s="235">
        <f t="shared" si="8"/>
        <v>483</v>
      </c>
      <c r="B489" s="287" t="s">
        <v>323</v>
      </c>
      <c r="C489" s="357"/>
      <c r="D489" s="239" t="s">
        <v>85</v>
      </c>
      <c r="E489" s="39"/>
      <c r="F489" s="242" t="s">
        <v>86</v>
      </c>
      <c r="G489" s="241" t="s">
        <v>87</v>
      </c>
    </row>
    <row r="490" spans="1:7" ht="30" customHeight="1">
      <c r="A490" s="235">
        <f t="shared" si="8"/>
        <v>484</v>
      </c>
      <c r="B490" s="287" t="s">
        <v>323</v>
      </c>
      <c r="C490" s="357"/>
      <c r="D490" s="239" t="s">
        <v>95</v>
      </c>
      <c r="E490" s="38"/>
      <c r="F490" s="242" t="s">
        <v>233</v>
      </c>
      <c r="G490" s="241" t="s">
        <v>94</v>
      </c>
    </row>
    <row r="491" spans="1:7" ht="30" customHeight="1">
      <c r="A491" s="235">
        <f t="shared" si="8"/>
        <v>485</v>
      </c>
      <c r="B491" s="287" t="s">
        <v>323</v>
      </c>
      <c r="C491" s="357"/>
      <c r="D491" s="239" t="s">
        <v>96</v>
      </c>
      <c r="E491" s="40"/>
      <c r="F491" s="245" t="s">
        <v>209</v>
      </c>
      <c r="G491" s="243" t="s">
        <v>206</v>
      </c>
    </row>
    <row r="492" spans="1:7" ht="30" customHeight="1">
      <c r="A492" s="235">
        <f t="shared" si="8"/>
        <v>486</v>
      </c>
      <c r="B492" s="287" t="s">
        <v>323</v>
      </c>
      <c r="C492" s="357" t="s">
        <v>99</v>
      </c>
      <c r="D492" s="358"/>
      <c r="E492" s="90"/>
      <c r="F492" s="240">
        <v>15000000</v>
      </c>
      <c r="G492" s="241" t="s">
        <v>305</v>
      </c>
    </row>
    <row r="493" spans="1:7" ht="30" customHeight="1">
      <c r="A493" s="235">
        <f t="shared" si="8"/>
        <v>487</v>
      </c>
      <c r="B493" s="287" t="s">
        <v>323</v>
      </c>
      <c r="C493" s="360" t="s">
        <v>228</v>
      </c>
      <c r="D493" s="358"/>
      <c r="E493" s="138"/>
      <c r="F493" s="246">
        <v>50</v>
      </c>
      <c r="G493" s="241" t="s">
        <v>229</v>
      </c>
    </row>
    <row r="494" spans="1:7" ht="40.5">
      <c r="A494" s="235">
        <f t="shared" si="8"/>
        <v>488</v>
      </c>
      <c r="B494" s="287" t="s">
        <v>323</v>
      </c>
      <c r="C494" s="357" t="s">
        <v>235</v>
      </c>
      <c r="D494" s="358"/>
      <c r="E494" s="38"/>
      <c r="F494" s="247" t="s">
        <v>240</v>
      </c>
      <c r="G494" s="241" t="s">
        <v>361</v>
      </c>
    </row>
    <row r="495" spans="1:7" ht="30" customHeight="1">
      <c r="A495" s="235">
        <f t="shared" si="8"/>
        <v>489</v>
      </c>
      <c r="B495" s="287" t="s">
        <v>323</v>
      </c>
      <c r="C495" s="357" t="s">
        <v>242</v>
      </c>
      <c r="D495" s="358"/>
      <c r="E495" s="38"/>
      <c r="F495" s="247" t="s">
        <v>241</v>
      </c>
      <c r="G495" s="241" t="s">
        <v>400</v>
      </c>
    </row>
    <row r="496" spans="1:7" ht="30" customHeight="1">
      <c r="A496" s="235">
        <f t="shared" si="8"/>
        <v>490</v>
      </c>
      <c r="B496" s="287" t="s">
        <v>323</v>
      </c>
      <c r="C496" s="357" t="s">
        <v>234</v>
      </c>
      <c r="D496" s="358"/>
      <c r="E496" s="90"/>
      <c r="F496" s="248">
        <v>10000000000</v>
      </c>
      <c r="G496" s="241" t="s">
        <v>306</v>
      </c>
    </row>
    <row r="497" spans="1:14" ht="30" customHeight="1">
      <c r="A497" s="235">
        <f t="shared" si="8"/>
        <v>491</v>
      </c>
      <c r="B497" s="287" t="s">
        <v>323</v>
      </c>
      <c r="C497" s="360" t="s">
        <v>292</v>
      </c>
      <c r="D497" s="358"/>
      <c r="E497" s="38"/>
      <c r="F497" s="247" t="s">
        <v>230</v>
      </c>
      <c r="G497" s="241"/>
    </row>
    <row r="498" spans="1:14" ht="30" customHeight="1">
      <c r="A498" s="255">
        <f t="shared" si="8"/>
        <v>492</v>
      </c>
      <c r="B498" s="288" t="s">
        <v>324</v>
      </c>
      <c r="C498" s="361" t="s">
        <v>213</v>
      </c>
      <c r="D498" s="362"/>
      <c r="E498" s="38"/>
      <c r="F498" s="300" t="s">
        <v>216</v>
      </c>
      <c r="G498" s="261" t="s">
        <v>403</v>
      </c>
      <c r="L498" s="69"/>
      <c r="M498" s="69"/>
      <c r="N498" s="69"/>
    </row>
    <row r="499" spans="1:14" ht="30" customHeight="1">
      <c r="A499" s="255">
        <f t="shared" si="8"/>
        <v>493</v>
      </c>
      <c r="B499" s="288" t="s">
        <v>324</v>
      </c>
      <c r="C499" s="361" t="s">
        <v>74</v>
      </c>
      <c r="D499" s="257" t="s">
        <v>125</v>
      </c>
      <c r="E499" s="38"/>
      <c r="F499" s="262" t="s">
        <v>75</v>
      </c>
      <c r="G499" s="261" t="s">
        <v>76</v>
      </c>
    </row>
    <row r="500" spans="1:14" ht="30" customHeight="1">
      <c r="A500" s="255">
        <f t="shared" si="8"/>
        <v>494</v>
      </c>
      <c r="B500" s="288" t="s">
        <v>324</v>
      </c>
      <c r="C500" s="361"/>
      <c r="D500" s="259" t="s">
        <v>198</v>
      </c>
      <c r="E500" s="40"/>
      <c r="F500" s="262" t="s">
        <v>199</v>
      </c>
      <c r="G500" s="261" t="s">
        <v>202</v>
      </c>
    </row>
    <row r="501" spans="1:14" ht="40.5">
      <c r="A501" s="255">
        <f t="shared" si="8"/>
        <v>495</v>
      </c>
      <c r="B501" s="288" t="s">
        <v>324</v>
      </c>
      <c r="C501" s="361"/>
      <c r="D501" s="259" t="s">
        <v>227</v>
      </c>
      <c r="E501" s="38"/>
      <c r="F501" s="262" t="s">
        <v>201</v>
      </c>
      <c r="G501" s="261" t="s">
        <v>290</v>
      </c>
    </row>
    <row r="502" spans="1:14" ht="30" customHeight="1">
      <c r="A502" s="255">
        <f t="shared" si="8"/>
        <v>496</v>
      </c>
      <c r="B502" s="288" t="s">
        <v>324</v>
      </c>
      <c r="C502" s="361"/>
      <c r="D502" s="259" t="s">
        <v>77</v>
      </c>
      <c r="E502" s="38"/>
      <c r="F502" s="262" t="s">
        <v>78</v>
      </c>
      <c r="G502" s="261" t="s">
        <v>205</v>
      </c>
    </row>
    <row r="503" spans="1:14" ht="30" customHeight="1">
      <c r="A503" s="255">
        <f t="shared" si="8"/>
        <v>497</v>
      </c>
      <c r="B503" s="288" t="s">
        <v>324</v>
      </c>
      <c r="C503" s="361"/>
      <c r="D503" s="259" t="s">
        <v>79</v>
      </c>
      <c r="E503" s="38"/>
      <c r="F503" s="262" t="s">
        <v>80</v>
      </c>
      <c r="G503" s="261" t="s">
        <v>204</v>
      </c>
    </row>
    <row r="504" spans="1:14" ht="30" customHeight="1">
      <c r="A504" s="255">
        <f t="shared" si="8"/>
        <v>498</v>
      </c>
      <c r="B504" s="288" t="s">
        <v>324</v>
      </c>
      <c r="C504" s="361"/>
      <c r="D504" s="259" t="s">
        <v>82</v>
      </c>
      <c r="E504" s="38"/>
      <c r="F504" s="262" t="s">
        <v>207</v>
      </c>
      <c r="G504" s="261" t="s">
        <v>84</v>
      </c>
    </row>
    <row r="505" spans="1:14" ht="30" customHeight="1">
      <c r="A505" s="255">
        <f t="shared" si="8"/>
        <v>499</v>
      </c>
      <c r="B505" s="288" t="s">
        <v>324</v>
      </c>
      <c r="C505" s="361"/>
      <c r="D505" s="259" t="s">
        <v>85</v>
      </c>
      <c r="E505" s="38"/>
      <c r="F505" s="262" t="s">
        <v>86</v>
      </c>
      <c r="G505" s="261" t="s">
        <v>203</v>
      </c>
    </row>
    <row r="506" spans="1:14" ht="30" customHeight="1">
      <c r="A506" s="255">
        <f t="shared" si="8"/>
        <v>500</v>
      </c>
      <c r="B506" s="288" t="s">
        <v>324</v>
      </c>
      <c r="C506" s="363" t="s">
        <v>102</v>
      </c>
      <c r="D506" s="259" t="s">
        <v>88</v>
      </c>
      <c r="E506" s="38"/>
      <c r="F506" s="262" t="s">
        <v>89</v>
      </c>
      <c r="G506" s="263" t="s">
        <v>206</v>
      </c>
    </row>
    <row r="507" spans="1:14" ht="30" customHeight="1">
      <c r="A507" s="255">
        <f t="shared" si="8"/>
        <v>501</v>
      </c>
      <c r="B507" s="288" t="s">
        <v>324</v>
      </c>
      <c r="C507" s="361"/>
      <c r="D507" s="259" t="s">
        <v>98</v>
      </c>
      <c r="E507" s="38"/>
      <c r="F507" s="264" t="s">
        <v>91</v>
      </c>
      <c r="G507" s="263" t="s">
        <v>206</v>
      </c>
    </row>
    <row r="508" spans="1:14" ht="30" customHeight="1">
      <c r="A508" s="255">
        <f t="shared" si="8"/>
        <v>502</v>
      </c>
      <c r="B508" s="288" t="s">
        <v>324</v>
      </c>
      <c r="C508" s="361"/>
      <c r="D508" s="259" t="s">
        <v>92</v>
      </c>
      <c r="E508" s="39"/>
      <c r="F508" s="260" t="s">
        <v>208</v>
      </c>
      <c r="G508" s="263" t="s">
        <v>206</v>
      </c>
    </row>
    <row r="509" spans="1:14" ht="30" customHeight="1">
      <c r="A509" s="255">
        <f t="shared" si="8"/>
        <v>503</v>
      </c>
      <c r="B509" s="288" t="s">
        <v>324</v>
      </c>
      <c r="C509" s="361"/>
      <c r="D509" s="259" t="s">
        <v>82</v>
      </c>
      <c r="E509" s="39"/>
      <c r="F509" s="262" t="s">
        <v>207</v>
      </c>
      <c r="G509" s="261" t="s">
        <v>84</v>
      </c>
    </row>
    <row r="510" spans="1:14" ht="30" customHeight="1">
      <c r="A510" s="255">
        <f t="shared" si="8"/>
        <v>504</v>
      </c>
      <c r="B510" s="288" t="s">
        <v>324</v>
      </c>
      <c r="C510" s="361"/>
      <c r="D510" s="259" t="s">
        <v>85</v>
      </c>
      <c r="E510" s="39"/>
      <c r="F510" s="262" t="s">
        <v>86</v>
      </c>
      <c r="G510" s="261" t="s">
        <v>87</v>
      </c>
    </row>
    <row r="511" spans="1:14" ht="30" customHeight="1">
      <c r="A511" s="255">
        <f t="shared" si="8"/>
        <v>505</v>
      </c>
      <c r="B511" s="288" t="s">
        <v>324</v>
      </c>
      <c r="C511" s="361"/>
      <c r="D511" s="259" t="s">
        <v>95</v>
      </c>
      <c r="E511" s="38"/>
      <c r="F511" s="262" t="s">
        <v>233</v>
      </c>
      <c r="G511" s="261" t="s">
        <v>94</v>
      </c>
    </row>
    <row r="512" spans="1:14" ht="30" customHeight="1">
      <c r="A512" s="255">
        <f t="shared" si="8"/>
        <v>506</v>
      </c>
      <c r="B512" s="288" t="s">
        <v>324</v>
      </c>
      <c r="C512" s="361"/>
      <c r="D512" s="259" t="s">
        <v>96</v>
      </c>
      <c r="E512" s="40"/>
      <c r="F512" s="265" t="s">
        <v>209</v>
      </c>
      <c r="G512" s="263" t="s">
        <v>206</v>
      </c>
    </row>
    <row r="513" spans="1:14" ht="30" customHeight="1">
      <c r="A513" s="255">
        <f t="shared" si="8"/>
        <v>507</v>
      </c>
      <c r="B513" s="288" t="s">
        <v>324</v>
      </c>
      <c r="C513" s="361" t="s">
        <v>99</v>
      </c>
      <c r="D513" s="362"/>
      <c r="E513" s="90"/>
      <c r="F513" s="260">
        <v>15000000</v>
      </c>
      <c r="G513" s="261" t="s">
        <v>305</v>
      </c>
    </row>
    <row r="514" spans="1:14" ht="30" customHeight="1">
      <c r="A514" s="255">
        <f t="shared" si="8"/>
        <v>508</v>
      </c>
      <c r="B514" s="288" t="s">
        <v>324</v>
      </c>
      <c r="C514" s="364" t="s">
        <v>228</v>
      </c>
      <c r="D514" s="362"/>
      <c r="E514" s="138"/>
      <c r="F514" s="266">
        <v>50</v>
      </c>
      <c r="G514" s="261" t="s">
        <v>229</v>
      </c>
    </row>
    <row r="515" spans="1:14" ht="40.5">
      <c r="A515" s="255">
        <f t="shared" si="8"/>
        <v>509</v>
      </c>
      <c r="B515" s="288" t="s">
        <v>324</v>
      </c>
      <c r="C515" s="361" t="s">
        <v>235</v>
      </c>
      <c r="D515" s="362"/>
      <c r="E515" s="38"/>
      <c r="F515" s="267" t="s">
        <v>240</v>
      </c>
      <c r="G515" s="261" t="s">
        <v>361</v>
      </c>
    </row>
    <row r="516" spans="1:14" ht="30" customHeight="1">
      <c r="A516" s="255">
        <f t="shared" si="8"/>
        <v>510</v>
      </c>
      <c r="B516" s="288" t="s">
        <v>324</v>
      </c>
      <c r="C516" s="361" t="s">
        <v>242</v>
      </c>
      <c r="D516" s="362"/>
      <c r="E516" s="38"/>
      <c r="F516" s="267" t="s">
        <v>241</v>
      </c>
      <c r="G516" s="261" t="s">
        <v>400</v>
      </c>
    </row>
    <row r="517" spans="1:14" ht="30" customHeight="1">
      <c r="A517" s="255">
        <f t="shared" si="8"/>
        <v>511</v>
      </c>
      <c r="B517" s="288" t="s">
        <v>324</v>
      </c>
      <c r="C517" s="361" t="s">
        <v>234</v>
      </c>
      <c r="D517" s="362"/>
      <c r="E517" s="90"/>
      <c r="F517" s="268">
        <v>10000000000</v>
      </c>
      <c r="G517" s="261" t="s">
        <v>306</v>
      </c>
    </row>
    <row r="518" spans="1:14" ht="30" customHeight="1">
      <c r="A518" s="255">
        <f t="shared" si="8"/>
        <v>512</v>
      </c>
      <c r="B518" s="288" t="s">
        <v>324</v>
      </c>
      <c r="C518" s="364" t="s">
        <v>292</v>
      </c>
      <c r="D518" s="362"/>
      <c r="E518" s="38"/>
      <c r="F518" s="267" t="s">
        <v>230</v>
      </c>
      <c r="G518" s="261"/>
    </row>
    <row r="519" spans="1:14" ht="30" customHeight="1">
      <c r="A519" s="140">
        <f t="shared" si="8"/>
        <v>513</v>
      </c>
      <c r="B519" s="289" t="s">
        <v>325</v>
      </c>
      <c r="C519" s="366" t="s">
        <v>213</v>
      </c>
      <c r="D519" s="367"/>
      <c r="E519" s="38"/>
      <c r="F519" s="298" t="s">
        <v>216</v>
      </c>
      <c r="G519" s="145" t="s">
        <v>403</v>
      </c>
      <c r="L519" s="69"/>
      <c r="M519" s="69"/>
      <c r="N519" s="69"/>
    </row>
    <row r="520" spans="1:14" ht="30" customHeight="1">
      <c r="A520" s="140">
        <f t="shared" si="8"/>
        <v>514</v>
      </c>
      <c r="B520" s="289" t="s">
        <v>325</v>
      </c>
      <c r="C520" s="366" t="s">
        <v>74</v>
      </c>
      <c r="D520" s="142" t="s">
        <v>125</v>
      </c>
      <c r="E520" s="38"/>
      <c r="F520" s="144" t="s">
        <v>75</v>
      </c>
      <c r="G520" s="145" t="s">
        <v>76</v>
      </c>
    </row>
    <row r="521" spans="1:14" ht="30" customHeight="1">
      <c r="A521" s="140">
        <f t="shared" si="8"/>
        <v>515</v>
      </c>
      <c r="B521" s="289" t="s">
        <v>325</v>
      </c>
      <c r="C521" s="366"/>
      <c r="D521" s="143" t="s">
        <v>198</v>
      </c>
      <c r="E521" s="40"/>
      <c r="F521" s="144" t="s">
        <v>199</v>
      </c>
      <c r="G521" s="145" t="s">
        <v>202</v>
      </c>
    </row>
    <row r="522" spans="1:14" ht="40.5">
      <c r="A522" s="140">
        <f t="shared" si="8"/>
        <v>516</v>
      </c>
      <c r="B522" s="289" t="s">
        <v>325</v>
      </c>
      <c r="C522" s="366"/>
      <c r="D522" s="143" t="s">
        <v>227</v>
      </c>
      <c r="E522" s="38"/>
      <c r="F522" s="144" t="s">
        <v>201</v>
      </c>
      <c r="G522" s="145" t="s">
        <v>290</v>
      </c>
    </row>
    <row r="523" spans="1:14" ht="30" customHeight="1">
      <c r="A523" s="140">
        <f t="shared" si="8"/>
        <v>517</v>
      </c>
      <c r="B523" s="289" t="s">
        <v>325</v>
      </c>
      <c r="C523" s="366"/>
      <c r="D523" s="143" t="s">
        <v>77</v>
      </c>
      <c r="E523" s="38"/>
      <c r="F523" s="144" t="s">
        <v>78</v>
      </c>
      <c r="G523" s="145" t="s">
        <v>205</v>
      </c>
    </row>
    <row r="524" spans="1:14" ht="30" customHeight="1">
      <c r="A524" s="140">
        <f t="shared" si="8"/>
        <v>518</v>
      </c>
      <c r="B524" s="289" t="s">
        <v>325</v>
      </c>
      <c r="C524" s="366"/>
      <c r="D524" s="143" t="s">
        <v>79</v>
      </c>
      <c r="E524" s="38"/>
      <c r="F524" s="144" t="s">
        <v>80</v>
      </c>
      <c r="G524" s="145" t="s">
        <v>204</v>
      </c>
    </row>
    <row r="525" spans="1:14" ht="30" customHeight="1">
      <c r="A525" s="140">
        <f t="shared" si="8"/>
        <v>519</v>
      </c>
      <c r="B525" s="289" t="s">
        <v>325</v>
      </c>
      <c r="C525" s="366"/>
      <c r="D525" s="143" t="s">
        <v>82</v>
      </c>
      <c r="E525" s="38"/>
      <c r="F525" s="144" t="s">
        <v>207</v>
      </c>
      <c r="G525" s="145" t="s">
        <v>84</v>
      </c>
    </row>
    <row r="526" spans="1:14" ht="30" customHeight="1">
      <c r="A526" s="140">
        <f t="shared" si="8"/>
        <v>520</v>
      </c>
      <c r="B526" s="289" t="s">
        <v>325</v>
      </c>
      <c r="C526" s="366"/>
      <c r="D526" s="143" t="s">
        <v>85</v>
      </c>
      <c r="E526" s="38"/>
      <c r="F526" s="144" t="s">
        <v>86</v>
      </c>
      <c r="G526" s="145" t="s">
        <v>203</v>
      </c>
    </row>
    <row r="527" spans="1:14" ht="30" customHeight="1">
      <c r="A527" s="140">
        <f t="shared" si="8"/>
        <v>521</v>
      </c>
      <c r="B527" s="289" t="s">
        <v>325</v>
      </c>
      <c r="C527" s="365" t="s">
        <v>102</v>
      </c>
      <c r="D527" s="143" t="s">
        <v>88</v>
      </c>
      <c r="E527" s="38"/>
      <c r="F527" s="144" t="s">
        <v>89</v>
      </c>
      <c r="G527" s="146" t="s">
        <v>206</v>
      </c>
    </row>
    <row r="528" spans="1:14" ht="30" customHeight="1">
      <c r="A528" s="140">
        <f t="shared" si="8"/>
        <v>522</v>
      </c>
      <c r="B528" s="289" t="s">
        <v>325</v>
      </c>
      <c r="C528" s="366"/>
      <c r="D528" s="143" t="s">
        <v>98</v>
      </c>
      <c r="E528" s="38"/>
      <c r="F528" s="147" t="s">
        <v>91</v>
      </c>
      <c r="G528" s="146" t="s">
        <v>206</v>
      </c>
    </row>
    <row r="529" spans="1:14" ht="30" customHeight="1">
      <c r="A529" s="140">
        <f t="shared" si="8"/>
        <v>523</v>
      </c>
      <c r="B529" s="289" t="s">
        <v>325</v>
      </c>
      <c r="C529" s="366"/>
      <c r="D529" s="143" t="s">
        <v>92</v>
      </c>
      <c r="E529" s="39"/>
      <c r="F529" s="148" t="s">
        <v>208</v>
      </c>
      <c r="G529" s="146" t="s">
        <v>206</v>
      </c>
    </row>
    <row r="530" spans="1:14" ht="30" customHeight="1">
      <c r="A530" s="140">
        <f t="shared" si="8"/>
        <v>524</v>
      </c>
      <c r="B530" s="289" t="s">
        <v>325</v>
      </c>
      <c r="C530" s="366"/>
      <c r="D530" s="143" t="s">
        <v>82</v>
      </c>
      <c r="E530" s="39"/>
      <c r="F530" s="144" t="s">
        <v>207</v>
      </c>
      <c r="G530" s="145" t="s">
        <v>84</v>
      </c>
    </row>
    <row r="531" spans="1:14" ht="30" customHeight="1">
      <c r="A531" s="140">
        <f t="shared" si="8"/>
        <v>525</v>
      </c>
      <c r="B531" s="289" t="s">
        <v>325</v>
      </c>
      <c r="C531" s="366"/>
      <c r="D531" s="143" t="s">
        <v>85</v>
      </c>
      <c r="E531" s="39"/>
      <c r="F531" s="144" t="s">
        <v>86</v>
      </c>
      <c r="G531" s="145" t="s">
        <v>87</v>
      </c>
    </row>
    <row r="532" spans="1:14" ht="30" customHeight="1">
      <c r="A532" s="140">
        <f t="shared" si="8"/>
        <v>526</v>
      </c>
      <c r="B532" s="289" t="s">
        <v>325</v>
      </c>
      <c r="C532" s="366"/>
      <c r="D532" s="143" t="s">
        <v>95</v>
      </c>
      <c r="E532" s="38"/>
      <c r="F532" s="144" t="s">
        <v>233</v>
      </c>
      <c r="G532" s="145" t="s">
        <v>94</v>
      </c>
    </row>
    <row r="533" spans="1:14" ht="30" customHeight="1">
      <c r="A533" s="140">
        <f t="shared" si="8"/>
        <v>527</v>
      </c>
      <c r="B533" s="289" t="s">
        <v>325</v>
      </c>
      <c r="C533" s="366"/>
      <c r="D533" s="143" t="s">
        <v>96</v>
      </c>
      <c r="E533" s="40"/>
      <c r="F533" s="149" t="s">
        <v>209</v>
      </c>
      <c r="G533" s="146" t="s">
        <v>206</v>
      </c>
    </row>
    <row r="534" spans="1:14" ht="30" customHeight="1">
      <c r="A534" s="140">
        <f t="shared" si="8"/>
        <v>528</v>
      </c>
      <c r="B534" s="289" t="s">
        <v>325</v>
      </c>
      <c r="C534" s="366" t="s">
        <v>99</v>
      </c>
      <c r="D534" s="367"/>
      <c r="E534" s="90"/>
      <c r="F534" s="148">
        <v>15000000</v>
      </c>
      <c r="G534" s="145" t="s">
        <v>305</v>
      </c>
    </row>
    <row r="535" spans="1:14" ht="30" customHeight="1">
      <c r="A535" s="140">
        <f t="shared" si="8"/>
        <v>529</v>
      </c>
      <c r="B535" s="289" t="s">
        <v>325</v>
      </c>
      <c r="C535" s="368" t="s">
        <v>228</v>
      </c>
      <c r="D535" s="367"/>
      <c r="E535" s="138"/>
      <c r="F535" s="150">
        <v>50</v>
      </c>
      <c r="G535" s="145" t="s">
        <v>229</v>
      </c>
    </row>
    <row r="536" spans="1:14" ht="40.5">
      <c r="A536" s="140">
        <f t="shared" si="8"/>
        <v>530</v>
      </c>
      <c r="B536" s="289" t="s">
        <v>325</v>
      </c>
      <c r="C536" s="366" t="s">
        <v>235</v>
      </c>
      <c r="D536" s="367"/>
      <c r="E536" s="38"/>
      <c r="F536" s="151" t="s">
        <v>240</v>
      </c>
      <c r="G536" s="145" t="s">
        <v>361</v>
      </c>
    </row>
    <row r="537" spans="1:14" ht="30" customHeight="1">
      <c r="A537" s="140">
        <f t="shared" si="8"/>
        <v>531</v>
      </c>
      <c r="B537" s="289" t="s">
        <v>325</v>
      </c>
      <c r="C537" s="366" t="s">
        <v>242</v>
      </c>
      <c r="D537" s="367"/>
      <c r="E537" s="38"/>
      <c r="F537" s="151" t="s">
        <v>241</v>
      </c>
      <c r="G537" s="145" t="s">
        <v>400</v>
      </c>
    </row>
    <row r="538" spans="1:14" ht="30" customHeight="1">
      <c r="A538" s="140">
        <f t="shared" si="8"/>
        <v>532</v>
      </c>
      <c r="B538" s="289" t="s">
        <v>325</v>
      </c>
      <c r="C538" s="366" t="s">
        <v>234</v>
      </c>
      <c r="D538" s="367"/>
      <c r="E538" s="90"/>
      <c r="F538" s="152">
        <v>10000000000</v>
      </c>
      <c r="G538" s="145" t="s">
        <v>306</v>
      </c>
    </row>
    <row r="539" spans="1:14" ht="30" customHeight="1">
      <c r="A539" s="140">
        <f t="shared" si="8"/>
        <v>533</v>
      </c>
      <c r="B539" s="289" t="s">
        <v>325</v>
      </c>
      <c r="C539" s="368" t="s">
        <v>292</v>
      </c>
      <c r="D539" s="367"/>
      <c r="E539" s="38"/>
      <c r="F539" s="151" t="s">
        <v>230</v>
      </c>
      <c r="G539" s="145"/>
    </row>
    <row r="540" spans="1:14" ht="30" customHeight="1">
      <c r="A540" s="251">
        <f t="shared" ref="A540:A560" si="9">ROW()-6</f>
        <v>534</v>
      </c>
      <c r="B540" s="290" t="s">
        <v>326</v>
      </c>
      <c r="C540" s="369" t="s">
        <v>213</v>
      </c>
      <c r="D540" s="370"/>
      <c r="E540" s="38"/>
      <c r="F540" s="291" t="s">
        <v>216</v>
      </c>
      <c r="G540" s="254" t="s">
        <v>403</v>
      </c>
      <c r="L540" s="69"/>
      <c r="M540" s="69"/>
      <c r="N540" s="69"/>
    </row>
    <row r="541" spans="1:14" ht="30" customHeight="1">
      <c r="A541" s="251">
        <f t="shared" si="9"/>
        <v>535</v>
      </c>
      <c r="B541" s="290" t="s">
        <v>326</v>
      </c>
      <c r="C541" s="369" t="s">
        <v>74</v>
      </c>
      <c r="D541" s="272" t="s">
        <v>125</v>
      </c>
      <c r="E541" s="38"/>
      <c r="F541" s="275" t="s">
        <v>75</v>
      </c>
      <c r="G541" s="254" t="s">
        <v>76</v>
      </c>
    </row>
    <row r="542" spans="1:14" ht="30" customHeight="1">
      <c r="A542" s="251">
        <f t="shared" si="9"/>
        <v>536</v>
      </c>
      <c r="B542" s="290" t="s">
        <v>326</v>
      </c>
      <c r="C542" s="369"/>
      <c r="D542" s="274" t="s">
        <v>198</v>
      </c>
      <c r="E542" s="40"/>
      <c r="F542" s="275" t="s">
        <v>199</v>
      </c>
      <c r="G542" s="254" t="s">
        <v>202</v>
      </c>
    </row>
    <row r="543" spans="1:14" ht="40.5">
      <c r="A543" s="251">
        <f t="shared" si="9"/>
        <v>537</v>
      </c>
      <c r="B543" s="290" t="s">
        <v>326</v>
      </c>
      <c r="C543" s="369"/>
      <c r="D543" s="274" t="s">
        <v>227</v>
      </c>
      <c r="E543" s="38"/>
      <c r="F543" s="275" t="s">
        <v>201</v>
      </c>
      <c r="G543" s="254" t="s">
        <v>290</v>
      </c>
    </row>
    <row r="544" spans="1:14" ht="30" customHeight="1">
      <c r="A544" s="251">
        <f t="shared" si="9"/>
        <v>538</v>
      </c>
      <c r="B544" s="290" t="s">
        <v>326</v>
      </c>
      <c r="C544" s="369"/>
      <c r="D544" s="274" t="s">
        <v>77</v>
      </c>
      <c r="E544" s="38"/>
      <c r="F544" s="275" t="s">
        <v>78</v>
      </c>
      <c r="G544" s="254" t="s">
        <v>205</v>
      </c>
    </row>
    <row r="545" spans="1:7" ht="30" customHeight="1">
      <c r="A545" s="251">
        <f t="shared" si="9"/>
        <v>539</v>
      </c>
      <c r="B545" s="290" t="s">
        <v>326</v>
      </c>
      <c r="C545" s="369"/>
      <c r="D545" s="274" t="s">
        <v>79</v>
      </c>
      <c r="E545" s="38"/>
      <c r="F545" s="275" t="s">
        <v>80</v>
      </c>
      <c r="G545" s="254" t="s">
        <v>204</v>
      </c>
    </row>
    <row r="546" spans="1:7" ht="30" customHeight="1">
      <c r="A546" s="251">
        <f t="shared" si="9"/>
        <v>540</v>
      </c>
      <c r="B546" s="290" t="s">
        <v>326</v>
      </c>
      <c r="C546" s="369"/>
      <c r="D546" s="274" t="s">
        <v>82</v>
      </c>
      <c r="E546" s="38"/>
      <c r="F546" s="275" t="s">
        <v>207</v>
      </c>
      <c r="G546" s="254" t="s">
        <v>84</v>
      </c>
    </row>
    <row r="547" spans="1:7" ht="30" customHeight="1">
      <c r="A547" s="251">
        <f t="shared" si="9"/>
        <v>541</v>
      </c>
      <c r="B547" s="290" t="s">
        <v>326</v>
      </c>
      <c r="C547" s="369"/>
      <c r="D547" s="274" t="s">
        <v>85</v>
      </c>
      <c r="E547" s="38"/>
      <c r="F547" s="275" t="s">
        <v>86</v>
      </c>
      <c r="G547" s="254" t="s">
        <v>203</v>
      </c>
    </row>
    <row r="548" spans="1:7" ht="30" customHeight="1">
      <c r="A548" s="251">
        <f t="shared" si="9"/>
        <v>542</v>
      </c>
      <c r="B548" s="290" t="s">
        <v>326</v>
      </c>
      <c r="C548" s="371" t="s">
        <v>102</v>
      </c>
      <c r="D548" s="274" t="s">
        <v>88</v>
      </c>
      <c r="E548" s="38"/>
      <c r="F548" s="275" t="s">
        <v>89</v>
      </c>
      <c r="G548" s="276" t="s">
        <v>206</v>
      </c>
    </row>
    <row r="549" spans="1:7" ht="30" customHeight="1">
      <c r="A549" s="251">
        <f t="shared" si="9"/>
        <v>543</v>
      </c>
      <c r="B549" s="290" t="s">
        <v>326</v>
      </c>
      <c r="C549" s="369"/>
      <c r="D549" s="274" t="s">
        <v>98</v>
      </c>
      <c r="E549" s="38"/>
      <c r="F549" s="277" t="s">
        <v>91</v>
      </c>
      <c r="G549" s="276" t="s">
        <v>206</v>
      </c>
    </row>
    <row r="550" spans="1:7" ht="30" customHeight="1">
      <c r="A550" s="251">
        <f t="shared" si="9"/>
        <v>544</v>
      </c>
      <c r="B550" s="290" t="s">
        <v>326</v>
      </c>
      <c r="C550" s="369"/>
      <c r="D550" s="274" t="s">
        <v>92</v>
      </c>
      <c r="E550" s="39"/>
      <c r="F550" s="253" t="s">
        <v>208</v>
      </c>
      <c r="G550" s="276" t="s">
        <v>206</v>
      </c>
    </row>
    <row r="551" spans="1:7" ht="30" customHeight="1">
      <c r="A551" s="251">
        <f t="shared" si="9"/>
        <v>545</v>
      </c>
      <c r="B551" s="290" t="s">
        <v>326</v>
      </c>
      <c r="C551" s="369"/>
      <c r="D551" s="274" t="s">
        <v>82</v>
      </c>
      <c r="E551" s="39"/>
      <c r="F551" s="275" t="s">
        <v>207</v>
      </c>
      <c r="G551" s="254" t="s">
        <v>84</v>
      </c>
    </row>
    <row r="552" spans="1:7" ht="30" customHeight="1">
      <c r="A552" s="251">
        <f t="shared" si="9"/>
        <v>546</v>
      </c>
      <c r="B552" s="290" t="s">
        <v>326</v>
      </c>
      <c r="C552" s="369"/>
      <c r="D552" s="274" t="s">
        <v>85</v>
      </c>
      <c r="E552" s="39"/>
      <c r="F552" s="275" t="s">
        <v>86</v>
      </c>
      <c r="G552" s="254" t="s">
        <v>87</v>
      </c>
    </row>
    <row r="553" spans="1:7" ht="30" customHeight="1">
      <c r="A553" s="251">
        <f t="shared" si="9"/>
        <v>547</v>
      </c>
      <c r="B553" s="290" t="s">
        <v>326</v>
      </c>
      <c r="C553" s="369"/>
      <c r="D553" s="274" t="s">
        <v>95</v>
      </c>
      <c r="E553" s="38"/>
      <c r="F553" s="275" t="s">
        <v>233</v>
      </c>
      <c r="G553" s="254" t="s">
        <v>94</v>
      </c>
    </row>
    <row r="554" spans="1:7" ht="30" customHeight="1">
      <c r="A554" s="251">
        <f t="shared" si="9"/>
        <v>548</v>
      </c>
      <c r="B554" s="290" t="s">
        <v>326</v>
      </c>
      <c r="C554" s="369"/>
      <c r="D554" s="274" t="s">
        <v>96</v>
      </c>
      <c r="E554" s="40"/>
      <c r="F554" s="278" t="s">
        <v>209</v>
      </c>
      <c r="G554" s="276" t="s">
        <v>206</v>
      </c>
    </row>
    <row r="555" spans="1:7" ht="30" customHeight="1">
      <c r="A555" s="251">
        <f t="shared" si="9"/>
        <v>549</v>
      </c>
      <c r="B555" s="290" t="s">
        <v>326</v>
      </c>
      <c r="C555" s="369" t="s">
        <v>99</v>
      </c>
      <c r="D555" s="370"/>
      <c r="E555" s="90"/>
      <c r="F555" s="253">
        <v>15000000</v>
      </c>
      <c r="G555" s="254" t="s">
        <v>305</v>
      </c>
    </row>
    <row r="556" spans="1:7" ht="30" customHeight="1">
      <c r="A556" s="251">
        <f t="shared" si="9"/>
        <v>550</v>
      </c>
      <c r="B556" s="290" t="s">
        <v>326</v>
      </c>
      <c r="C556" s="372" t="s">
        <v>228</v>
      </c>
      <c r="D556" s="370"/>
      <c r="E556" s="138"/>
      <c r="F556" s="279">
        <v>50</v>
      </c>
      <c r="G556" s="254" t="s">
        <v>229</v>
      </c>
    </row>
    <row r="557" spans="1:7" ht="40.5">
      <c r="A557" s="251">
        <f t="shared" si="9"/>
        <v>551</v>
      </c>
      <c r="B557" s="290" t="s">
        <v>326</v>
      </c>
      <c r="C557" s="369" t="s">
        <v>235</v>
      </c>
      <c r="D557" s="370"/>
      <c r="E557" s="38"/>
      <c r="F557" s="280" t="s">
        <v>240</v>
      </c>
      <c r="G557" s="254" t="s">
        <v>361</v>
      </c>
    </row>
    <row r="558" spans="1:7" ht="30" customHeight="1">
      <c r="A558" s="251">
        <f t="shared" si="9"/>
        <v>552</v>
      </c>
      <c r="B558" s="290" t="s">
        <v>326</v>
      </c>
      <c r="C558" s="369" t="s">
        <v>242</v>
      </c>
      <c r="D558" s="370"/>
      <c r="E558" s="38"/>
      <c r="F558" s="280" t="s">
        <v>241</v>
      </c>
      <c r="G558" s="254" t="s">
        <v>400</v>
      </c>
    </row>
    <row r="559" spans="1:7" ht="30" customHeight="1">
      <c r="A559" s="251">
        <f t="shared" si="9"/>
        <v>553</v>
      </c>
      <c r="B559" s="290" t="s">
        <v>326</v>
      </c>
      <c r="C559" s="369" t="s">
        <v>234</v>
      </c>
      <c r="D559" s="370"/>
      <c r="E559" s="90"/>
      <c r="F559" s="281">
        <v>10000000000</v>
      </c>
      <c r="G559" s="254" t="s">
        <v>306</v>
      </c>
    </row>
    <row r="560" spans="1:7" ht="30" customHeight="1">
      <c r="A560" s="251">
        <f t="shared" si="9"/>
        <v>554</v>
      </c>
      <c r="B560" s="290" t="s">
        <v>326</v>
      </c>
      <c r="C560" s="372" t="s">
        <v>292</v>
      </c>
      <c r="D560" s="370"/>
      <c r="E560" s="38"/>
      <c r="F560" s="280" t="s">
        <v>230</v>
      </c>
      <c r="G560" s="254"/>
    </row>
  </sheetData>
  <dataConsolidate/>
  <mergeCells count="249">
    <mergeCell ref="C558:D558"/>
    <mergeCell ref="C559:D559"/>
    <mergeCell ref="C560:D560"/>
    <mergeCell ref="C541:C547"/>
    <mergeCell ref="C548:C554"/>
    <mergeCell ref="C555:D555"/>
    <mergeCell ref="C556:D556"/>
    <mergeCell ref="C557:D557"/>
    <mergeCell ref="C536:D536"/>
    <mergeCell ref="C537:D537"/>
    <mergeCell ref="C538:D538"/>
    <mergeCell ref="C539:D539"/>
    <mergeCell ref="C540:D540"/>
    <mergeCell ref="C519:D519"/>
    <mergeCell ref="C520:C526"/>
    <mergeCell ref="C527:C533"/>
    <mergeCell ref="C534:D534"/>
    <mergeCell ref="C535:D535"/>
    <mergeCell ref="C514:D514"/>
    <mergeCell ref="C515:D515"/>
    <mergeCell ref="C516:D516"/>
    <mergeCell ref="C517:D517"/>
    <mergeCell ref="C518:D518"/>
    <mergeCell ref="C497:D497"/>
    <mergeCell ref="C498:D498"/>
    <mergeCell ref="C499:C505"/>
    <mergeCell ref="C506:C512"/>
    <mergeCell ref="C513:D513"/>
    <mergeCell ref="C492:D492"/>
    <mergeCell ref="C493:D493"/>
    <mergeCell ref="C494:D494"/>
    <mergeCell ref="C495:D495"/>
    <mergeCell ref="C496:D496"/>
    <mergeCell ref="C476:D476"/>
    <mergeCell ref="C477:D477"/>
    <mergeCell ref="C478:C484"/>
    <mergeCell ref="C485:C491"/>
    <mergeCell ref="C474:D474"/>
    <mergeCell ref="C475:D475"/>
    <mergeCell ref="C457:C463"/>
    <mergeCell ref="C464:C470"/>
    <mergeCell ref="C471:D471"/>
    <mergeCell ref="C472:D472"/>
    <mergeCell ref="C473:D473"/>
    <mergeCell ref="C455:D455"/>
    <mergeCell ref="C456:D456"/>
    <mergeCell ref="C452:D452"/>
    <mergeCell ref="C453:D453"/>
    <mergeCell ref="C454:D454"/>
    <mergeCell ref="C435:D435"/>
    <mergeCell ref="C436:C442"/>
    <mergeCell ref="C443:C449"/>
    <mergeCell ref="C450:D450"/>
    <mergeCell ref="C451:D451"/>
    <mergeCell ref="C434:D434"/>
    <mergeCell ref="C430:D430"/>
    <mergeCell ref="C431:D431"/>
    <mergeCell ref="C432:D432"/>
    <mergeCell ref="C433:D433"/>
    <mergeCell ref="C413:D413"/>
    <mergeCell ref="C414:D414"/>
    <mergeCell ref="C415:C421"/>
    <mergeCell ref="C422:C428"/>
    <mergeCell ref="C429:D429"/>
    <mergeCell ref="C408:D408"/>
    <mergeCell ref="C409:D409"/>
    <mergeCell ref="C410:D410"/>
    <mergeCell ref="C411:D411"/>
    <mergeCell ref="C412:D412"/>
    <mergeCell ref="C392:D392"/>
    <mergeCell ref="C393:D393"/>
    <mergeCell ref="C394:C400"/>
    <mergeCell ref="C401:C407"/>
    <mergeCell ref="C389:D389"/>
    <mergeCell ref="C390:D390"/>
    <mergeCell ref="C391:D391"/>
    <mergeCell ref="C372:D372"/>
    <mergeCell ref="C373:C379"/>
    <mergeCell ref="C380:C386"/>
    <mergeCell ref="C387:D387"/>
    <mergeCell ref="C388:D388"/>
    <mergeCell ref="C371:D371"/>
    <mergeCell ref="C367:D367"/>
    <mergeCell ref="C368:D368"/>
    <mergeCell ref="C369:D369"/>
    <mergeCell ref="C370:D370"/>
    <mergeCell ref="C350:D350"/>
    <mergeCell ref="C351:D351"/>
    <mergeCell ref="C352:C358"/>
    <mergeCell ref="C359:C365"/>
    <mergeCell ref="C366:D366"/>
    <mergeCell ref="C340:C343"/>
    <mergeCell ref="C344:C346"/>
    <mergeCell ref="C347:D347"/>
    <mergeCell ref="C348:D348"/>
    <mergeCell ref="C349:D349"/>
    <mergeCell ref="C335:D335"/>
    <mergeCell ref="C336:D336"/>
    <mergeCell ref="C337:D337"/>
    <mergeCell ref="C338:D338"/>
    <mergeCell ref="C339:D339"/>
    <mergeCell ref="C318:D318"/>
    <mergeCell ref="C319:D319"/>
    <mergeCell ref="C320:D320"/>
    <mergeCell ref="C321:C327"/>
    <mergeCell ref="C328:C334"/>
    <mergeCell ref="C308:D308"/>
    <mergeCell ref="C309:C312"/>
    <mergeCell ref="C313:C315"/>
    <mergeCell ref="C316:D316"/>
    <mergeCell ref="C317:D317"/>
    <mergeCell ref="C297:C303"/>
    <mergeCell ref="C304:D304"/>
    <mergeCell ref="C305:D305"/>
    <mergeCell ref="C306:D306"/>
    <mergeCell ref="C307:D307"/>
    <mergeCell ref="C286:D286"/>
    <mergeCell ref="C287:D287"/>
    <mergeCell ref="C288:D288"/>
    <mergeCell ref="C289:D289"/>
    <mergeCell ref="C290:C296"/>
    <mergeCell ref="C276:D276"/>
    <mergeCell ref="C277:D277"/>
    <mergeCell ref="C278:C281"/>
    <mergeCell ref="C282:C284"/>
    <mergeCell ref="C285:D285"/>
    <mergeCell ref="C259:C265"/>
    <mergeCell ref="C266:C272"/>
    <mergeCell ref="C273:D273"/>
    <mergeCell ref="C274:D274"/>
    <mergeCell ref="C275:D275"/>
    <mergeCell ref="C254:D254"/>
    <mergeCell ref="C255:D255"/>
    <mergeCell ref="C256:D256"/>
    <mergeCell ref="C257:D257"/>
    <mergeCell ref="C258:D258"/>
    <mergeCell ref="C244:D244"/>
    <mergeCell ref="C245:D245"/>
    <mergeCell ref="C246:D246"/>
    <mergeCell ref="C247:C250"/>
    <mergeCell ref="C251:C253"/>
    <mergeCell ref="C227:D227"/>
    <mergeCell ref="C228:C234"/>
    <mergeCell ref="C235:C241"/>
    <mergeCell ref="C242:D242"/>
    <mergeCell ref="C243:D243"/>
    <mergeCell ref="C220:C222"/>
    <mergeCell ref="C223:D223"/>
    <mergeCell ref="C224:D224"/>
    <mergeCell ref="C225:D225"/>
    <mergeCell ref="C226:D226"/>
    <mergeCell ref="C212:D212"/>
    <mergeCell ref="C213:D213"/>
    <mergeCell ref="C214:D214"/>
    <mergeCell ref="C215:D215"/>
    <mergeCell ref="C216:C219"/>
    <mergeCell ref="C195:D195"/>
    <mergeCell ref="C196:D196"/>
    <mergeCell ref="C197:C203"/>
    <mergeCell ref="C204:C210"/>
    <mergeCell ref="C211:D211"/>
    <mergeCell ref="C185:C188"/>
    <mergeCell ref="C189:C191"/>
    <mergeCell ref="C192:D192"/>
    <mergeCell ref="C193:D193"/>
    <mergeCell ref="C194:D194"/>
    <mergeCell ref="C180:D180"/>
    <mergeCell ref="C181:D181"/>
    <mergeCell ref="C182:D182"/>
    <mergeCell ref="C183:D183"/>
    <mergeCell ref="C184:D184"/>
    <mergeCell ref="C163:D163"/>
    <mergeCell ref="C164:D164"/>
    <mergeCell ref="C165:D165"/>
    <mergeCell ref="C166:C172"/>
    <mergeCell ref="C173:C179"/>
    <mergeCell ref="C153:D153"/>
    <mergeCell ref="C154:C157"/>
    <mergeCell ref="C158:C160"/>
    <mergeCell ref="C161:D161"/>
    <mergeCell ref="C162:D162"/>
    <mergeCell ref="C142:C148"/>
    <mergeCell ref="C149:D149"/>
    <mergeCell ref="C150:D150"/>
    <mergeCell ref="C151:D151"/>
    <mergeCell ref="C152:D152"/>
    <mergeCell ref="C131:D131"/>
    <mergeCell ref="C132:D132"/>
    <mergeCell ref="C133:D133"/>
    <mergeCell ref="C134:D134"/>
    <mergeCell ref="C135:C141"/>
    <mergeCell ref="C121:D121"/>
    <mergeCell ref="C122:D122"/>
    <mergeCell ref="C123:C126"/>
    <mergeCell ref="C127:C129"/>
    <mergeCell ref="C130:D130"/>
    <mergeCell ref="C104:C110"/>
    <mergeCell ref="C111:C117"/>
    <mergeCell ref="C118:D118"/>
    <mergeCell ref="C119:D119"/>
    <mergeCell ref="C120:D120"/>
    <mergeCell ref="C99:D99"/>
    <mergeCell ref="C100:D100"/>
    <mergeCell ref="C101:D101"/>
    <mergeCell ref="C102:D102"/>
    <mergeCell ref="C103:D103"/>
    <mergeCell ref="C89:D89"/>
    <mergeCell ref="C90:D90"/>
    <mergeCell ref="C91:D91"/>
    <mergeCell ref="C92:C95"/>
    <mergeCell ref="C96:C98"/>
    <mergeCell ref="C72:D72"/>
    <mergeCell ref="C73:C79"/>
    <mergeCell ref="C80:C86"/>
    <mergeCell ref="C87:D87"/>
    <mergeCell ref="C88:D88"/>
    <mergeCell ref="C5:D5"/>
    <mergeCell ref="C6:D6"/>
    <mergeCell ref="C7:D7"/>
    <mergeCell ref="C8:D8"/>
    <mergeCell ref="C9:D9"/>
    <mergeCell ref="C71:D71"/>
    <mergeCell ref="C25:D25"/>
    <mergeCell ref="C26:D26"/>
    <mergeCell ref="C42:C48"/>
    <mergeCell ref="C49:C55"/>
    <mergeCell ref="C68:D68"/>
    <mergeCell ref="C69:D69"/>
    <mergeCell ref="C29:D29"/>
    <mergeCell ref="C40:D40"/>
    <mergeCell ref="C27:D27"/>
    <mergeCell ref="C60:D60"/>
    <mergeCell ref="C59:D59"/>
    <mergeCell ref="C58:D58"/>
    <mergeCell ref="C28:D28"/>
    <mergeCell ref="C30:C33"/>
    <mergeCell ref="C34:C36"/>
    <mergeCell ref="C61:C64"/>
    <mergeCell ref="C65:C67"/>
    <mergeCell ref="C10:D10"/>
    <mergeCell ref="C41:D41"/>
    <mergeCell ref="C70:D70"/>
    <mergeCell ref="C11:C17"/>
    <mergeCell ref="C18:C24"/>
    <mergeCell ref="C56:D56"/>
    <mergeCell ref="C57:D57"/>
    <mergeCell ref="C37:D37"/>
    <mergeCell ref="C38:D38"/>
    <mergeCell ref="C39:D39"/>
  </mergeCells>
  <phoneticPr fontId="3"/>
  <dataValidations count="2">
    <dataValidation type="textLength" operator="equal" allowBlank="1" showInputMessage="1" showErrorMessage="1" sqref="E12 E260 E521 E43 E74 E105 E136 E167 E198 E229 E291 E353 E322 E416 E374 E395 E437 E458 E479 E500 E542">
      <formula1>13</formula1>
    </dataValidation>
    <dataValidation imeMode="off" allowBlank="1" showInputMessage="1" showErrorMessage="1" sqref="E38:E39 E271:E274 E29 E286:E287 E277 E21 E16 E54:E57 E52 E47 E83 E78 E85:E88 E114 E109 E116:E119 E145 E140 E147:E150 E176 E171 E178:E181 E207 E202 E209:E212 E240:E243 E255:E256 E246 E302:E305 E317:E318 E308 E370 E366:E367 E348:E349 E339 E420 E427:E430 E378 E385:E388 E399 E406:E409 E441 E448:E451 E462 E469:E472 E483 E490:E493 E504 E511:E514 E525 E532:E535 E23:E26 E69:E70 E60 E100:E101 E91 E131:E132 E122 E162:E163 E153 E193:E194 E184 E224:E225 E215 E238 E233 E269 E264 E300 E295 E331 E326 E333:E336 E391 E383 E412 E404 E433 E425 E454 E446 E475 E467 E496 E488 E517 E509 E538 E530 E559 E551 E546 E553:E556"/>
  </dataValidations>
  <pageMargins left="0.70866141732283472" right="0.70866141732283472" top="0.74803149606299213" bottom="0.74803149606299213" header="0.31496062992125984" footer="0.31496062992125984"/>
  <pageSetup paperSize="9" scale="44" fitToHeight="0" orientation="landscape" horizontalDpi="300" verticalDpi="300" r:id="rId1"/>
  <rowBreaks count="21" manualBreakCount="21">
    <brk id="9" max="16383" man="1"/>
    <brk id="40" max="16383" man="1"/>
    <brk id="71" max="16383" man="1"/>
    <brk id="102" max="16383" man="1"/>
    <brk id="133" max="16383" man="1"/>
    <brk id="164" max="16383" man="1"/>
    <brk id="195" max="16383" man="1"/>
    <brk id="226" max="16383" man="1"/>
    <brk id="257" max="16383" man="1"/>
    <brk id="288" max="16383" man="1"/>
    <brk id="319" max="16383" man="1"/>
    <brk id="350" max="16383" man="1"/>
    <brk id="371" max="16383" man="1"/>
    <brk id="392" max="16383" man="1"/>
    <brk id="413" max="16383" man="1"/>
    <brk id="434" max="16383" man="1"/>
    <brk id="455" max="16383" man="1"/>
    <brk id="476" max="16383" man="1"/>
    <brk id="497" max="16383" man="1"/>
    <brk id="518" max="16383" man="1"/>
    <brk id="539"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'（削除・変更禁止）データ'!$B$3:$B$4</xm:f>
          </x14:formula1>
          <xm:sqref>E7</xm:sqref>
        </x14:dataValidation>
        <x14:dataValidation type="list" allowBlank="1" showInputMessage="1" showErrorMessage="1">
          <x14:formula1>
            <xm:f>'（削除・変更禁止）データ'!$B$14:$B$17</xm:f>
          </x14:formula1>
          <xm:sqref>E27 E275 E536 E58 E89 E120 E151 E182 E213 E244 E306 E368 E337 E431 E389 E410 E452 E473 E494 E515 E557</xm:sqref>
        </x14:dataValidation>
        <x14:dataValidation type="list" allowBlank="1" showInputMessage="1" showErrorMessage="1">
          <x14:formula1>
            <xm:f>'（削除・変更禁止）業種コード表'!$E$4:$E$102</xm:f>
          </x14:formula1>
          <xm:sqref>E13 E522 E44 E75 E106 E137 E168 E199 E230 E261 E292 E354 E323 E375 E396 E417 E438 E459 E480 E501 E543</xm:sqref>
        </x14:dataValidation>
        <x14:dataValidation type="list" allowBlank="1" showInputMessage="1" showErrorMessage="1">
          <x14:formula1>
            <xm:f>'（削除・変更禁止）データ'!$B$8:$B$8</xm:f>
          </x14:formula1>
          <xm:sqref>E320 E289 E258 E227 E196 E165 E134 E103 E72 E41 E10</xm:sqref>
        </x14:dataValidation>
        <x14:dataValidation type="list" allowBlank="1" showInputMessage="1" showErrorMessage="1">
          <x14:formula1>
            <xm:f>'（削除・変更禁止）データ'!$B$9:$B$10</xm:f>
          </x14:formula1>
          <xm:sqref>E351 E372 E393 E414 E435 E456 E477 E498 E519 E540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zoomScale="60" zoomScaleNormal="60" zoomScaleSheetLayoutView="70" workbookViewId="0"/>
  </sheetViews>
  <sheetFormatPr defaultRowHeight="13.5"/>
  <cols>
    <col min="1" max="1" width="10.625" style="45" customWidth="1"/>
    <col min="2" max="2" width="25.625" style="45" customWidth="1"/>
    <col min="3" max="3" width="25.625" style="46" customWidth="1"/>
    <col min="4" max="4" width="40.625" style="44" customWidth="1"/>
    <col min="5" max="5" width="40.625" style="46" customWidth="1"/>
    <col min="6" max="16384" width="9" style="44"/>
  </cols>
  <sheetData>
    <row r="1" spans="1:5" ht="33" customHeight="1">
      <c r="A1" s="41"/>
      <c r="B1" s="41"/>
      <c r="C1" s="42"/>
      <c r="D1" s="43"/>
      <c r="E1" s="57" t="s">
        <v>128</v>
      </c>
    </row>
    <row r="2" spans="1:5" ht="20.100000000000001" customHeight="1">
      <c r="A2" s="375" t="s">
        <v>113</v>
      </c>
      <c r="B2" s="376"/>
      <c r="C2" s="376"/>
      <c r="D2" s="376"/>
      <c r="E2" s="376"/>
    </row>
    <row r="3" spans="1:5" s="49" customFormat="1" ht="115.5" customHeight="1">
      <c r="A3" s="48"/>
      <c r="B3" s="373" t="s">
        <v>112</v>
      </c>
      <c r="C3" s="374"/>
      <c r="D3" s="374"/>
      <c r="E3" s="374"/>
    </row>
    <row r="4" spans="1:5" ht="15.75">
      <c r="A4" s="41"/>
      <c r="B4" s="41"/>
      <c r="C4" s="42"/>
      <c r="D4" s="43"/>
      <c r="E4" s="42"/>
    </row>
    <row r="5" spans="1:5" ht="20.100000000000001" customHeight="1">
      <c r="A5" s="47" t="s">
        <v>105</v>
      </c>
      <c r="B5" s="47" t="s">
        <v>111</v>
      </c>
      <c r="C5" s="47" t="s">
        <v>106</v>
      </c>
      <c r="D5" s="47" t="s">
        <v>107</v>
      </c>
      <c r="E5" s="47" t="s">
        <v>110</v>
      </c>
    </row>
    <row r="6" spans="1:5" ht="99.95" customHeight="1">
      <c r="A6" s="47" t="s">
        <v>108</v>
      </c>
      <c r="B6" s="50"/>
      <c r="C6" s="51"/>
      <c r="D6" s="52"/>
      <c r="E6" s="52"/>
    </row>
    <row r="7" spans="1:5" ht="99.95" customHeight="1">
      <c r="A7" s="47" t="s">
        <v>109</v>
      </c>
      <c r="B7" s="50"/>
      <c r="C7" s="51"/>
      <c r="D7" s="52"/>
      <c r="E7" s="52"/>
    </row>
    <row r="8" spans="1:5" ht="99.95" customHeight="1">
      <c r="A8" s="47"/>
      <c r="B8" s="50"/>
      <c r="C8" s="51"/>
      <c r="D8" s="52"/>
      <c r="E8" s="52"/>
    </row>
    <row r="9" spans="1:5" ht="99.95" customHeight="1">
      <c r="A9" s="47"/>
      <c r="B9" s="50"/>
      <c r="C9" s="51"/>
      <c r="D9" s="52"/>
      <c r="E9" s="52"/>
    </row>
    <row r="10" spans="1:5" ht="99.95" customHeight="1">
      <c r="A10" s="47"/>
      <c r="B10" s="50"/>
      <c r="C10" s="51"/>
      <c r="D10" s="52"/>
      <c r="E10" s="52"/>
    </row>
  </sheetData>
  <mergeCells count="2">
    <mergeCell ref="B3:E3"/>
    <mergeCell ref="A2:E2"/>
  </mergeCells>
  <phoneticPr fontId="9"/>
  <pageMargins left="0.70866141732283472" right="0.70866141732283472" top="0.74803149606299213" bottom="0.74803149606299213" header="0.31496062992125984" footer="0.31496062992125984"/>
  <pageSetup paperSize="9" scale="9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A1:M28"/>
  <sheetViews>
    <sheetView showGridLines="0" zoomScale="60" zoomScaleNormal="60" workbookViewId="0"/>
  </sheetViews>
  <sheetFormatPr defaultRowHeight="13.5"/>
  <cols>
    <col min="1" max="1" width="22.125" style="1" customWidth="1"/>
    <col min="2" max="2" width="24.125" style="1" customWidth="1"/>
    <col min="3" max="7" width="14.5" style="1" customWidth="1"/>
    <col min="8" max="16384" width="9" style="1"/>
  </cols>
  <sheetData>
    <row r="1" spans="1:13" ht="33" customHeight="1">
      <c r="G1" s="11" t="s">
        <v>128</v>
      </c>
    </row>
    <row r="2" spans="1:13" ht="18.75">
      <c r="A2" s="375" t="s">
        <v>34</v>
      </c>
      <c r="B2" s="375"/>
      <c r="C2" s="375"/>
      <c r="D2" s="375"/>
      <c r="E2" s="375"/>
      <c r="F2" s="375"/>
      <c r="G2" s="375"/>
    </row>
    <row r="3" spans="1:13" ht="18.75" customHeight="1">
      <c r="A3" s="35" t="s">
        <v>177</v>
      </c>
    </row>
    <row r="4" spans="1:13" ht="18.75" customHeight="1">
      <c r="A4" s="35" t="s">
        <v>186</v>
      </c>
    </row>
    <row r="5" spans="1:13" s="5" customFormat="1" ht="18.75" customHeight="1">
      <c r="A5" s="35" t="s">
        <v>103</v>
      </c>
    </row>
    <row r="6" spans="1:13" s="5" customFormat="1" ht="18.75" customHeight="1">
      <c r="A6" s="35"/>
    </row>
    <row r="7" spans="1:13" s="5" customFormat="1" ht="18.75" customHeight="1">
      <c r="A7" s="382" t="s">
        <v>104</v>
      </c>
      <c r="B7" s="382"/>
      <c r="C7" s="382"/>
    </row>
    <row r="8" spans="1:13" s="5" customFormat="1" ht="18.75" customHeight="1">
      <c r="A8" s="4"/>
      <c r="B8" s="4"/>
      <c r="C8" s="381" t="s">
        <v>44</v>
      </c>
      <c r="D8" s="381"/>
      <c r="E8" s="381"/>
      <c r="F8" s="381"/>
      <c r="G8" s="381"/>
    </row>
    <row r="9" spans="1:13" s="5" customFormat="1" ht="27" customHeight="1">
      <c r="A9" s="6" t="s">
        <v>35</v>
      </c>
      <c r="B9" s="7" t="s">
        <v>38</v>
      </c>
      <c r="C9" s="6" t="s">
        <v>8</v>
      </c>
      <c r="D9" s="6" t="s">
        <v>52</v>
      </c>
      <c r="E9" s="6" t="s">
        <v>53</v>
      </c>
      <c r="F9" s="6" t="s">
        <v>54</v>
      </c>
      <c r="G9" s="6" t="s">
        <v>127</v>
      </c>
      <c r="J9" s="26"/>
    </row>
    <row r="10" spans="1:13" s="5" customFormat="1" ht="27" customHeight="1">
      <c r="A10" s="377" t="str">
        <f>"１．"&amp;'(委託先)企業等'!A8</f>
        <v>１．●●●●株式会社</v>
      </c>
      <c r="B10" s="378"/>
      <c r="C10" s="8">
        <f t="shared" ref="C10:C22" si="0">SUM(D10:G10)</f>
        <v>0</v>
      </c>
      <c r="D10" s="8">
        <f>'(委託先)企業等'!C28</f>
        <v>0</v>
      </c>
      <c r="E10" s="8">
        <f>'(委託先)企業等'!D28</f>
        <v>0</v>
      </c>
      <c r="F10" s="8">
        <f>'(委託先)企業等'!E28</f>
        <v>0</v>
      </c>
      <c r="G10" s="8">
        <f>'(委託先)企業等'!F28</f>
        <v>0</v>
      </c>
      <c r="J10" s="27"/>
      <c r="K10" s="28"/>
      <c r="L10" s="28"/>
      <c r="M10" s="28"/>
    </row>
    <row r="11" spans="1:13" s="5" customFormat="1" ht="27" customHeight="1">
      <c r="A11" s="9" t="s">
        <v>41</v>
      </c>
      <c r="B11" s="10" t="s">
        <v>37</v>
      </c>
      <c r="C11" s="31">
        <f t="shared" si="0"/>
        <v>0</v>
      </c>
      <c r="D11" s="31"/>
      <c r="E11" s="31"/>
      <c r="F11" s="31"/>
      <c r="G11" s="31"/>
      <c r="J11" s="27"/>
      <c r="K11" s="28"/>
      <c r="L11" s="28"/>
      <c r="M11" s="28"/>
    </row>
    <row r="12" spans="1:13" s="5" customFormat="1" ht="27" customHeight="1">
      <c r="A12" s="9" t="s">
        <v>41</v>
      </c>
      <c r="B12" s="10" t="s">
        <v>36</v>
      </c>
      <c r="C12" s="31">
        <f t="shared" si="0"/>
        <v>0</v>
      </c>
      <c r="D12" s="31"/>
      <c r="E12" s="31"/>
      <c r="F12" s="31"/>
      <c r="G12" s="31"/>
      <c r="J12" s="27"/>
      <c r="K12" s="28"/>
      <c r="L12" s="28"/>
      <c r="M12" s="28"/>
    </row>
    <row r="13" spans="1:13" s="5" customFormat="1" ht="27" customHeight="1">
      <c r="A13" s="9" t="s">
        <v>39</v>
      </c>
      <c r="B13" s="10" t="s">
        <v>43</v>
      </c>
      <c r="C13" s="31">
        <f t="shared" si="0"/>
        <v>0</v>
      </c>
      <c r="D13" s="31"/>
      <c r="E13" s="31"/>
      <c r="F13" s="31"/>
      <c r="G13" s="31"/>
      <c r="J13" s="27"/>
      <c r="K13" s="28"/>
      <c r="L13" s="28"/>
      <c r="M13" s="28"/>
    </row>
    <row r="14" spans="1:13" s="26" customFormat="1" ht="27" customHeight="1">
      <c r="A14" s="379" t="str">
        <f>"２．"&amp;'(委託先)大学等'!A8</f>
        <v>２．国立大学法人★★★大学</v>
      </c>
      <c r="B14" s="380"/>
      <c r="C14" s="10">
        <f t="shared" si="0"/>
        <v>0</v>
      </c>
      <c r="D14" s="10">
        <f>'(委託先)大学等'!C18</f>
        <v>0</v>
      </c>
      <c r="E14" s="10">
        <f>'(委託先)大学等'!D18</f>
        <v>0</v>
      </c>
      <c r="F14" s="10">
        <f>'(委託先)大学等'!E18</f>
        <v>0</v>
      </c>
      <c r="G14" s="10">
        <f>'(委託先)大学等'!F18</f>
        <v>0</v>
      </c>
      <c r="J14" s="27"/>
      <c r="K14" s="28"/>
      <c r="L14" s="28"/>
      <c r="M14" s="28"/>
    </row>
    <row r="15" spans="1:13" s="5" customFormat="1" ht="27" customHeight="1">
      <c r="A15" s="9" t="s">
        <v>41</v>
      </c>
      <c r="B15" s="10" t="s">
        <v>25</v>
      </c>
      <c r="C15" s="31">
        <f t="shared" si="0"/>
        <v>0</v>
      </c>
      <c r="D15" s="31"/>
      <c r="E15" s="31"/>
      <c r="F15" s="31"/>
      <c r="G15" s="31"/>
      <c r="J15" s="27"/>
      <c r="K15" s="28"/>
      <c r="L15" s="28"/>
      <c r="M15" s="28"/>
    </row>
    <row r="16" spans="1:13" s="5" customFormat="1" ht="27" customHeight="1">
      <c r="A16" s="9" t="s">
        <v>41</v>
      </c>
      <c r="B16" s="10" t="s">
        <v>24</v>
      </c>
      <c r="C16" s="31">
        <f t="shared" si="0"/>
        <v>0</v>
      </c>
      <c r="D16" s="31"/>
      <c r="E16" s="31"/>
      <c r="F16" s="31"/>
      <c r="G16" s="31"/>
      <c r="J16" s="27"/>
      <c r="K16" s="28"/>
      <c r="L16" s="28"/>
      <c r="M16" s="28"/>
    </row>
    <row r="17" spans="1:13" s="5" customFormat="1" ht="27" customHeight="1">
      <c r="A17" s="9" t="s">
        <v>39</v>
      </c>
      <c r="B17" s="10" t="s">
        <v>42</v>
      </c>
      <c r="C17" s="31">
        <f t="shared" si="0"/>
        <v>0</v>
      </c>
      <c r="D17" s="31"/>
      <c r="E17" s="31"/>
      <c r="F17" s="31"/>
      <c r="G17" s="31"/>
      <c r="J17" s="27"/>
      <c r="K17" s="28"/>
      <c r="L17" s="28"/>
      <c r="M17" s="28"/>
    </row>
    <row r="18" spans="1:13" s="26" customFormat="1" ht="27" customHeight="1">
      <c r="A18" s="379" t="str">
        <f>"３．"&amp;'(委託先)国立研究開発法人等'!A8</f>
        <v>３．国立研究開発法人■■■■機構</v>
      </c>
      <c r="B18" s="380"/>
      <c r="C18" s="10">
        <f t="shared" si="0"/>
        <v>0</v>
      </c>
      <c r="D18" s="10">
        <f>'(委託先)国立研究開発法人等'!C22</f>
        <v>0</v>
      </c>
      <c r="E18" s="10">
        <f>'(委託先)国立研究開発法人等'!D22</f>
        <v>0</v>
      </c>
      <c r="F18" s="10">
        <f>'(委託先)国立研究開発法人等'!E22</f>
        <v>0</v>
      </c>
      <c r="G18" s="10">
        <f>'(委託先)国立研究開発法人等'!F22</f>
        <v>0</v>
      </c>
      <c r="J18" s="27"/>
      <c r="K18" s="28"/>
      <c r="L18" s="28"/>
      <c r="M18" s="28"/>
    </row>
    <row r="19" spans="1:13" s="5" customFormat="1" ht="27" customHeight="1">
      <c r="A19" s="9" t="s">
        <v>41</v>
      </c>
      <c r="B19" s="10" t="s">
        <v>24</v>
      </c>
      <c r="C19" s="31">
        <f t="shared" si="0"/>
        <v>0</v>
      </c>
      <c r="D19" s="31"/>
      <c r="E19" s="31"/>
      <c r="F19" s="31"/>
      <c r="G19" s="31"/>
      <c r="J19" s="27"/>
      <c r="K19" s="28"/>
      <c r="L19" s="28"/>
      <c r="M19" s="28"/>
    </row>
    <row r="20" spans="1:13" s="5" customFormat="1" ht="27" customHeight="1">
      <c r="A20" s="9" t="s">
        <v>39</v>
      </c>
      <c r="B20" s="10" t="s">
        <v>42</v>
      </c>
      <c r="C20" s="31">
        <f t="shared" si="0"/>
        <v>0</v>
      </c>
      <c r="D20" s="31"/>
      <c r="E20" s="31"/>
      <c r="F20" s="31"/>
      <c r="G20" s="31"/>
      <c r="J20" s="27"/>
      <c r="K20" s="28"/>
      <c r="L20" s="28"/>
      <c r="M20" s="28"/>
    </row>
    <row r="21" spans="1:13" s="5" customFormat="1" ht="27" customHeight="1">
      <c r="A21" s="377" t="s">
        <v>327</v>
      </c>
      <c r="B21" s="378"/>
      <c r="C21" s="8">
        <f t="shared" si="0"/>
        <v>0</v>
      </c>
      <c r="D21" s="8">
        <f>SUM(D10,D14,D18)</f>
        <v>0</v>
      </c>
      <c r="E21" s="8">
        <f t="shared" ref="E21:G21" si="1">SUM(E10,E14,E18)</f>
        <v>0</v>
      </c>
      <c r="F21" s="8">
        <f t="shared" si="1"/>
        <v>0</v>
      </c>
      <c r="G21" s="8">
        <f t="shared" si="1"/>
        <v>0</v>
      </c>
      <c r="J21" s="28"/>
      <c r="K21" s="28"/>
      <c r="L21" s="28"/>
      <c r="M21" s="28"/>
    </row>
    <row r="22" spans="1:13" s="5" customFormat="1" ht="27" customHeight="1">
      <c r="A22" s="377" t="s">
        <v>190</v>
      </c>
      <c r="B22" s="378"/>
      <c r="C22" s="8">
        <f t="shared" si="0"/>
        <v>0</v>
      </c>
      <c r="D22" s="8">
        <f>'(委託先)企業等'!C27+'(委託先)大学等'!C19+'(委託先)国立研究開発法人等'!C21</f>
        <v>0</v>
      </c>
      <c r="E22" s="8">
        <f>'(委託先)企業等'!D27+'(委託先)大学等'!D19+'(委託先)国立研究開発法人等'!D21</f>
        <v>0</v>
      </c>
      <c r="F22" s="8">
        <f>'(委託先)企業等'!E27+'(委託先)大学等'!E19+'(委託先)国立研究開発法人等'!E21</f>
        <v>0</v>
      </c>
      <c r="G22" s="8">
        <f>'(委託先)企業等'!F27+'(委託先)大学等'!F19+'(委託先)国立研究開発法人等'!F21</f>
        <v>0</v>
      </c>
      <c r="J22" s="28"/>
      <c r="K22" s="28"/>
      <c r="L22" s="28"/>
      <c r="M22" s="28"/>
    </row>
    <row r="23" spans="1:13" s="5" customFormat="1" ht="27" customHeight="1">
      <c r="A23" s="377" t="s">
        <v>32</v>
      </c>
      <c r="B23" s="378"/>
      <c r="C23" s="8">
        <f>C21</f>
        <v>0</v>
      </c>
      <c r="D23" s="8">
        <f t="shared" ref="C23:G24" si="2">D21</f>
        <v>0</v>
      </c>
      <c r="E23" s="8">
        <f t="shared" ref="E23:F23" si="3">E21</f>
        <v>0</v>
      </c>
      <c r="F23" s="8">
        <f t="shared" si="3"/>
        <v>0</v>
      </c>
      <c r="G23" s="8">
        <f t="shared" si="2"/>
        <v>0</v>
      </c>
      <c r="J23" s="28"/>
      <c r="K23" s="28"/>
      <c r="L23" s="28"/>
      <c r="M23" s="28"/>
    </row>
    <row r="24" spans="1:13" s="5" customFormat="1" ht="27" customHeight="1">
      <c r="A24" s="377" t="s">
        <v>33</v>
      </c>
      <c r="B24" s="378"/>
      <c r="C24" s="8">
        <f t="shared" si="2"/>
        <v>0</v>
      </c>
      <c r="D24" s="8">
        <f t="shared" si="2"/>
        <v>0</v>
      </c>
      <c r="E24" s="8">
        <f t="shared" ref="E24:F24" si="4">E22</f>
        <v>0</v>
      </c>
      <c r="F24" s="8">
        <f t="shared" si="4"/>
        <v>0</v>
      </c>
      <c r="G24" s="8">
        <f t="shared" si="2"/>
        <v>0</v>
      </c>
      <c r="J24" s="28"/>
      <c r="K24" s="28"/>
      <c r="L24" s="28"/>
      <c r="M24" s="28"/>
    </row>
    <row r="25" spans="1:13" s="5" customFormat="1" ht="27" customHeight="1">
      <c r="A25" s="30"/>
      <c r="B25" s="30"/>
      <c r="C25" s="15"/>
      <c r="D25" s="15"/>
      <c r="E25" s="15"/>
      <c r="F25" s="15"/>
      <c r="G25" s="15"/>
      <c r="J25" s="28"/>
      <c r="K25" s="28"/>
      <c r="L25" s="28"/>
      <c r="M25" s="28"/>
    </row>
    <row r="26" spans="1:13" ht="13.5" customHeight="1">
      <c r="A26" s="33" t="s">
        <v>188</v>
      </c>
    </row>
    <row r="27" spans="1:13" ht="13.5" customHeight="1">
      <c r="A27" s="33" t="s">
        <v>187</v>
      </c>
    </row>
    <row r="28" spans="1:13">
      <c r="A28" s="33" t="s">
        <v>192</v>
      </c>
    </row>
  </sheetData>
  <mergeCells count="10">
    <mergeCell ref="A24:B24"/>
    <mergeCell ref="A2:G2"/>
    <mergeCell ref="A10:B10"/>
    <mergeCell ref="A23:B23"/>
    <mergeCell ref="A14:B14"/>
    <mergeCell ref="A21:B21"/>
    <mergeCell ref="A22:B22"/>
    <mergeCell ref="C8:G8"/>
    <mergeCell ref="A7:C7"/>
    <mergeCell ref="A18:B18"/>
  </mergeCells>
  <phoneticPr fontId="3"/>
  <hyperlinks>
    <hyperlink ref="A3" r:id="rId1" display="http://www.nedo.go.jp/itaku-gyomu/yakkan.html"/>
    <hyperlink ref="A4" r:id="rId2" display="http://www.nedo.go.jp/itaku-gyomu/yakkan.html"/>
  </hyperlinks>
  <pageMargins left="0.59" right="0.39" top="0.74803149606299213" bottom="0.74803149606299213" header="0.31496062992125984" footer="0.31496062992125984"/>
  <pageSetup paperSize="9" scale="92"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39997558519241921"/>
    <pageSetUpPr fitToPage="1"/>
  </sheetPr>
  <dimension ref="A1:F44"/>
  <sheetViews>
    <sheetView showGridLines="0" zoomScale="60" zoomScaleNormal="60" workbookViewId="0"/>
  </sheetViews>
  <sheetFormatPr defaultRowHeight="13.5"/>
  <cols>
    <col min="1" max="1" width="35.375" bestFit="1" customWidth="1"/>
    <col min="2" max="6" width="14.625" customWidth="1"/>
  </cols>
  <sheetData>
    <row r="1" spans="1:6" ht="33" customHeight="1">
      <c r="F1" s="12" t="s">
        <v>128</v>
      </c>
    </row>
    <row r="2" spans="1:6" ht="50.1" customHeight="1">
      <c r="A2" s="383" t="s">
        <v>176</v>
      </c>
      <c r="B2" s="375"/>
      <c r="C2" s="375"/>
      <c r="D2" s="375"/>
      <c r="E2" s="375"/>
      <c r="F2" s="375"/>
    </row>
    <row r="3" spans="1:6" s="2" customFormat="1" ht="18.75" customHeight="1">
      <c r="A3" s="35" t="s">
        <v>177</v>
      </c>
      <c r="B3" s="24"/>
      <c r="C3" s="24"/>
      <c r="D3" s="24"/>
      <c r="E3" s="24"/>
      <c r="F3" s="24"/>
    </row>
    <row r="4" spans="1:6" s="2" customFormat="1" ht="18.75" customHeight="1">
      <c r="A4" s="35" t="s">
        <v>178</v>
      </c>
      <c r="B4" s="24"/>
      <c r="C4" s="24"/>
      <c r="D4" s="24"/>
      <c r="E4" s="24"/>
      <c r="F4" s="24"/>
    </row>
    <row r="5" spans="1:6" s="5" customFormat="1" ht="18.75" customHeight="1">
      <c r="A5" s="35" t="s">
        <v>103</v>
      </c>
    </row>
    <row r="6" spans="1:6" s="5" customFormat="1" ht="18.75" customHeight="1">
      <c r="A6" s="35"/>
    </row>
    <row r="7" spans="1:6" s="14" customFormat="1" ht="18.75" customHeight="1">
      <c r="A7" s="5" t="s">
        <v>104</v>
      </c>
    </row>
    <row r="8" spans="1:6" s="14" customFormat="1" ht="18.75" customHeight="1">
      <c r="A8" s="14" t="s">
        <v>29</v>
      </c>
    </row>
    <row r="9" spans="1:6" s="14" customFormat="1" ht="18.75" customHeight="1">
      <c r="F9" s="16" t="s">
        <v>9</v>
      </c>
    </row>
    <row r="10" spans="1:6" s="18" customFormat="1" ht="22.5" customHeight="1">
      <c r="A10" s="17" t="s">
        <v>0</v>
      </c>
      <c r="B10" s="17" t="s">
        <v>8</v>
      </c>
      <c r="C10" s="6" t="s">
        <v>52</v>
      </c>
      <c r="D10" s="6" t="s">
        <v>53</v>
      </c>
      <c r="E10" s="6" t="s">
        <v>54</v>
      </c>
      <c r="F10" s="6" t="s">
        <v>127</v>
      </c>
    </row>
    <row r="11" spans="1:6" s="5" customFormat="1" ht="22.5" customHeight="1">
      <c r="A11" s="19" t="s">
        <v>10</v>
      </c>
      <c r="B11" s="19">
        <f t="shared" ref="B11:B28" si="0">SUM(C11:F11)</f>
        <v>0</v>
      </c>
      <c r="C11" s="19">
        <f>SUM(C12:C14)</f>
        <v>0</v>
      </c>
      <c r="D11" s="19">
        <f t="shared" ref="D11:E11" si="1">SUM(D12:D14)</f>
        <v>0</v>
      </c>
      <c r="E11" s="19">
        <f t="shared" si="1"/>
        <v>0</v>
      </c>
      <c r="F11" s="19">
        <f>SUM(F12:F14)</f>
        <v>0</v>
      </c>
    </row>
    <row r="12" spans="1:6" s="5" customFormat="1" ht="22.5" customHeight="1">
      <c r="A12" s="20" t="s">
        <v>11</v>
      </c>
      <c r="B12" s="20">
        <f t="shared" si="0"/>
        <v>0</v>
      </c>
      <c r="C12" s="20"/>
      <c r="D12" s="20"/>
      <c r="E12" s="20"/>
      <c r="F12" s="20"/>
    </row>
    <row r="13" spans="1:6" s="5" customFormat="1" ht="22.5" customHeight="1">
      <c r="A13" s="20" t="s">
        <v>12</v>
      </c>
      <c r="B13" s="20">
        <f t="shared" si="0"/>
        <v>0</v>
      </c>
      <c r="C13" s="20"/>
      <c r="D13" s="20"/>
      <c r="E13" s="20"/>
      <c r="F13" s="20"/>
    </row>
    <row r="14" spans="1:6" s="5" customFormat="1" ht="22.5" customHeight="1">
      <c r="A14" s="22" t="s">
        <v>13</v>
      </c>
      <c r="B14" s="22">
        <f t="shared" si="0"/>
        <v>0</v>
      </c>
      <c r="C14" s="22"/>
      <c r="D14" s="22"/>
      <c r="E14" s="22"/>
      <c r="F14" s="22"/>
    </row>
    <row r="15" spans="1:6" s="5" customFormat="1" ht="22.5" customHeight="1">
      <c r="A15" s="19" t="s">
        <v>14</v>
      </c>
      <c r="B15" s="19">
        <f t="shared" si="0"/>
        <v>0</v>
      </c>
      <c r="C15" s="19">
        <f>SUM(C16:C17)</f>
        <v>0</v>
      </c>
      <c r="D15" s="19">
        <f t="shared" ref="D15:E15" si="2">SUM(D16:D17)</f>
        <v>0</v>
      </c>
      <c r="E15" s="19">
        <f t="shared" si="2"/>
        <v>0</v>
      </c>
      <c r="F15" s="19">
        <f>SUM(F16:F17)</f>
        <v>0</v>
      </c>
    </row>
    <row r="16" spans="1:6" s="5" customFormat="1" ht="22.5" customHeight="1">
      <c r="A16" s="20" t="s">
        <v>15</v>
      </c>
      <c r="B16" s="20">
        <f t="shared" si="0"/>
        <v>0</v>
      </c>
      <c r="C16" s="20"/>
      <c r="D16" s="20"/>
      <c r="E16" s="20"/>
      <c r="F16" s="20"/>
    </row>
    <row r="17" spans="1:6" s="5" customFormat="1" ht="22.5" customHeight="1">
      <c r="A17" s="22" t="s">
        <v>16</v>
      </c>
      <c r="B17" s="22">
        <f t="shared" si="0"/>
        <v>0</v>
      </c>
      <c r="C17" s="22"/>
      <c r="D17" s="22"/>
      <c r="E17" s="22"/>
      <c r="F17" s="22"/>
    </row>
    <row r="18" spans="1:6" s="5" customFormat="1" ht="22.5" customHeight="1">
      <c r="A18" s="20" t="s">
        <v>17</v>
      </c>
      <c r="B18" s="20">
        <f t="shared" si="0"/>
        <v>0</v>
      </c>
      <c r="C18" s="20">
        <f>SUM(C19:C22)</f>
        <v>0</v>
      </c>
      <c r="D18" s="20">
        <f t="shared" ref="D18:E18" si="3">SUM(D19:D22)</f>
        <v>0</v>
      </c>
      <c r="E18" s="20">
        <f t="shared" si="3"/>
        <v>0</v>
      </c>
      <c r="F18" s="20">
        <f>SUM(F19:F22)</f>
        <v>0</v>
      </c>
    </row>
    <row r="19" spans="1:6" s="5" customFormat="1" ht="22.5" customHeight="1">
      <c r="A19" s="20" t="s">
        <v>18</v>
      </c>
      <c r="B19" s="20">
        <f t="shared" si="0"/>
        <v>0</v>
      </c>
      <c r="C19" s="20"/>
      <c r="D19" s="20"/>
      <c r="E19" s="20"/>
      <c r="F19" s="20"/>
    </row>
    <row r="20" spans="1:6" s="5" customFormat="1" ht="22.5" customHeight="1">
      <c r="A20" s="20" t="s">
        <v>19</v>
      </c>
      <c r="B20" s="20">
        <f t="shared" si="0"/>
        <v>0</v>
      </c>
      <c r="C20" s="20"/>
      <c r="D20" s="20"/>
      <c r="E20" s="20"/>
      <c r="F20" s="20"/>
    </row>
    <row r="21" spans="1:6" s="5" customFormat="1" ht="22.5" customHeight="1">
      <c r="A21" s="20" t="s">
        <v>20</v>
      </c>
      <c r="B21" s="20">
        <f t="shared" si="0"/>
        <v>0</v>
      </c>
      <c r="C21" s="20"/>
      <c r="D21" s="20"/>
      <c r="E21" s="20"/>
      <c r="F21" s="20"/>
    </row>
    <row r="22" spans="1:6" s="5" customFormat="1" ht="22.5" customHeight="1">
      <c r="A22" s="20" t="s">
        <v>21</v>
      </c>
      <c r="B22" s="20">
        <f t="shared" si="0"/>
        <v>0</v>
      </c>
      <c r="C22" s="20"/>
      <c r="D22" s="20"/>
      <c r="E22" s="20"/>
      <c r="F22" s="20"/>
    </row>
    <row r="23" spans="1:6" s="5" customFormat="1" ht="22.5" customHeight="1">
      <c r="A23" s="25" t="s">
        <v>30</v>
      </c>
      <c r="B23" s="10">
        <f t="shared" si="0"/>
        <v>0</v>
      </c>
      <c r="C23" s="10">
        <f>SUM(C11,C15,C18)</f>
        <v>0</v>
      </c>
      <c r="D23" s="10">
        <f t="shared" ref="D23:E23" si="4">SUM(D11,D15,D18)</f>
        <v>0</v>
      </c>
      <c r="E23" s="10">
        <f t="shared" si="4"/>
        <v>0</v>
      </c>
      <c r="F23" s="10">
        <f>SUM(F11,F15,F18)</f>
        <v>0</v>
      </c>
    </row>
    <row r="24" spans="1:6" s="5" customFormat="1" ht="22.5" customHeight="1">
      <c r="A24" s="8" t="s">
        <v>22</v>
      </c>
      <c r="B24" s="8">
        <f t="shared" si="0"/>
        <v>0</v>
      </c>
      <c r="C24" s="21">
        <f>ROUNDDOWN((C23/1000*10%),0)*1000</f>
        <v>0</v>
      </c>
      <c r="D24" s="21">
        <f t="shared" ref="D24:E24" si="5">ROUNDDOWN((D23/1000*10%),0)*1000</f>
        <v>0</v>
      </c>
      <c r="E24" s="21">
        <f t="shared" si="5"/>
        <v>0</v>
      </c>
      <c r="F24" s="21">
        <f>ROUNDDOWN((F23/1000*10%),0)*1000</f>
        <v>0</v>
      </c>
    </row>
    <row r="25" spans="1:6" s="5" customFormat="1" ht="22.5" customHeight="1">
      <c r="A25" s="22" t="s">
        <v>23</v>
      </c>
      <c r="B25" s="8">
        <f t="shared" si="0"/>
        <v>0</v>
      </c>
      <c r="C25" s="8"/>
      <c r="D25" s="8"/>
      <c r="E25" s="8"/>
      <c r="F25" s="8"/>
    </row>
    <row r="26" spans="1:6" s="5" customFormat="1" ht="22.5" customHeight="1">
      <c r="A26" s="6" t="s">
        <v>26</v>
      </c>
      <c r="B26" s="8">
        <f t="shared" si="0"/>
        <v>0</v>
      </c>
      <c r="C26" s="8">
        <f>SUM(C23:C25)</f>
        <v>0</v>
      </c>
      <c r="D26" s="8">
        <f t="shared" ref="D26:E26" si="6">SUM(D23:D25)</f>
        <v>0</v>
      </c>
      <c r="E26" s="8">
        <f t="shared" si="6"/>
        <v>0</v>
      </c>
      <c r="F26" s="8">
        <f>SUM(F23:F25)</f>
        <v>0</v>
      </c>
    </row>
    <row r="27" spans="1:6" s="5" customFormat="1" ht="22.5" customHeight="1">
      <c r="A27" s="23" t="s">
        <v>191</v>
      </c>
      <c r="B27" s="8">
        <f t="shared" si="0"/>
        <v>0</v>
      </c>
      <c r="C27" s="21">
        <f>ROUNDDOWN(C26*$B$44,0)</f>
        <v>0</v>
      </c>
      <c r="D27" s="21">
        <f t="shared" ref="D27:F27" si="7">ROUNDDOWN(D26*$B$44,0)</f>
        <v>0</v>
      </c>
      <c r="E27" s="21">
        <f t="shared" si="7"/>
        <v>0</v>
      </c>
      <c r="F27" s="21">
        <f t="shared" si="7"/>
        <v>0</v>
      </c>
    </row>
    <row r="28" spans="1:6" s="5" customFormat="1" ht="22.5" customHeight="1">
      <c r="A28" s="6" t="s">
        <v>31</v>
      </c>
      <c r="B28" s="8">
        <f t="shared" si="0"/>
        <v>0</v>
      </c>
      <c r="C28" s="8">
        <f>SUM(C26:C27)</f>
        <v>0</v>
      </c>
      <c r="D28" s="8">
        <f t="shared" ref="D28:E28" si="8">SUM(D26:D27)</f>
        <v>0</v>
      </c>
      <c r="E28" s="8">
        <f t="shared" si="8"/>
        <v>0</v>
      </c>
      <c r="F28" s="8">
        <f>SUM(F26:F27)</f>
        <v>0</v>
      </c>
    </row>
    <row r="29" spans="1:6" s="5" customFormat="1" ht="22.5" customHeight="1">
      <c r="A29" s="30"/>
      <c r="B29" s="15"/>
      <c r="C29" s="15"/>
      <c r="D29" s="15"/>
      <c r="E29" s="15"/>
      <c r="F29" s="15"/>
    </row>
    <row r="30" spans="1:6">
      <c r="A30" t="s">
        <v>55</v>
      </c>
    </row>
    <row r="31" spans="1:6" s="34" customFormat="1">
      <c r="A31" s="34" t="s">
        <v>56</v>
      </c>
    </row>
    <row r="32" spans="1:6" s="34" customFormat="1">
      <c r="A32" s="55" t="s">
        <v>179</v>
      </c>
      <c r="B32" s="54"/>
      <c r="C32" s="54"/>
      <c r="D32" s="54"/>
      <c r="E32" s="54"/>
      <c r="F32" s="54"/>
    </row>
    <row r="33" spans="1:2" s="34" customFormat="1">
      <c r="A33" s="34" t="s">
        <v>114</v>
      </c>
    </row>
    <row r="34" spans="1:2" s="34" customFormat="1">
      <c r="A34" s="34" t="s">
        <v>180</v>
      </c>
    </row>
    <row r="35" spans="1:2" s="34" customFormat="1">
      <c r="A35" s="34" t="s">
        <v>195</v>
      </c>
    </row>
    <row r="36" spans="1:2" s="34" customFormat="1">
      <c r="A36" s="34" t="s">
        <v>183</v>
      </c>
    </row>
    <row r="37" spans="1:2" s="34" customFormat="1">
      <c r="A37" s="34" t="s">
        <v>182</v>
      </c>
    </row>
    <row r="38" spans="1:2" s="34" customFormat="1">
      <c r="A38" s="34" t="s">
        <v>184</v>
      </c>
    </row>
    <row r="39" spans="1:2" s="34" customFormat="1">
      <c r="A39" s="34" t="s">
        <v>181</v>
      </c>
    </row>
    <row r="40" spans="1:2" s="34" customFormat="1">
      <c r="A40" s="34" t="s">
        <v>185</v>
      </c>
    </row>
    <row r="41" spans="1:2" s="34" customFormat="1">
      <c r="A41" s="34" t="s">
        <v>174</v>
      </c>
    </row>
    <row r="42" spans="1:2">
      <c r="A42" s="66" t="s">
        <v>193</v>
      </c>
    </row>
    <row r="44" spans="1:2">
      <c r="A44" s="68" t="s">
        <v>189</v>
      </c>
      <c r="B44" s="67">
        <v>0.1</v>
      </c>
    </row>
  </sheetData>
  <mergeCells count="1">
    <mergeCell ref="A2:F2"/>
  </mergeCells>
  <phoneticPr fontId="3"/>
  <hyperlinks>
    <hyperlink ref="A3" r:id="rId1" display="http://www.nedo.go.jp/content/100641154.pdf"/>
    <hyperlink ref="A4" r:id="rId2" display="http://www.nedo.go.jp/content/100641154.pdf"/>
  </hyperlinks>
  <pageMargins left="0.70866141732283472" right="0.70866141732283472" top="0.74803149606299213" bottom="0.74803149606299213" header="0.31496062992125984" footer="0.31496062992125984"/>
  <pageSetup paperSize="9" scale="63" orientation="landscape"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tint="0.39997558519241921"/>
    <pageSetUpPr fitToPage="1"/>
  </sheetPr>
  <dimension ref="A1:F35"/>
  <sheetViews>
    <sheetView showGridLines="0" zoomScale="60" zoomScaleNormal="60" workbookViewId="0"/>
  </sheetViews>
  <sheetFormatPr defaultRowHeight="13.5"/>
  <cols>
    <col min="1" max="1" width="35.375" bestFit="1" customWidth="1"/>
    <col min="2" max="6" width="14.625" customWidth="1"/>
  </cols>
  <sheetData>
    <row r="1" spans="1:6" ht="33" customHeight="1">
      <c r="F1" s="12" t="s">
        <v>128</v>
      </c>
    </row>
    <row r="2" spans="1:6" ht="50.1" customHeight="1">
      <c r="A2" s="384" t="s">
        <v>165</v>
      </c>
      <c r="B2" s="385"/>
      <c r="C2" s="385"/>
      <c r="D2" s="385"/>
      <c r="E2" s="385"/>
      <c r="F2" s="385"/>
    </row>
    <row r="3" spans="1:6" s="5" customFormat="1" ht="18.75" customHeight="1">
      <c r="A3" s="35" t="s">
        <v>166</v>
      </c>
    </row>
    <row r="4" spans="1:6" s="5" customFormat="1" ht="18.75" customHeight="1">
      <c r="A4" s="35" t="s">
        <v>144</v>
      </c>
    </row>
    <row r="5" spans="1:6" s="5" customFormat="1" ht="18.75" customHeight="1">
      <c r="A5" s="35" t="s">
        <v>103</v>
      </c>
    </row>
    <row r="6" spans="1:6" s="5" customFormat="1" ht="18.75" customHeight="1">
      <c r="A6" s="32"/>
    </row>
    <row r="7" spans="1:6" s="14" customFormat="1" ht="18.75" customHeight="1">
      <c r="A7" s="5" t="s">
        <v>104</v>
      </c>
    </row>
    <row r="8" spans="1:6" s="14" customFormat="1" ht="18.75" customHeight="1">
      <c r="A8" s="14" t="s">
        <v>51</v>
      </c>
    </row>
    <row r="9" spans="1:6" s="14" customFormat="1" ht="18.75" customHeight="1">
      <c r="F9" s="16" t="s">
        <v>9</v>
      </c>
    </row>
    <row r="10" spans="1:6" s="18" customFormat="1" ht="22.5" customHeight="1">
      <c r="A10" s="17" t="s">
        <v>0</v>
      </c>
      <c r="B10" s="17" t="s">
        <v>8</v>
      </c>
      <c r="C10" s="6" t="s">
        <v>52</v>
      </c>
      <c r="D10" s="6" t="s">
        <v>53</v>
      </c>
      <c r="E10" s="6" t="s">
        <v>54</v>
      </c>
      <c r="F10" s="6" t="s">
        <v>127</v>
      </c>
    </row>
    <row r="11" spans="1:6" s="5" customFormat="1" ht="22.5" customHeight="1">
      <c r="A11" s="19" t="s">
        <v>1</v>
      </c>
      <c r="B11" s="19">
        <f t="shared" ref="B11:B22" si="0">SUM(C11:F11)</f>
        <v>0</v>
      </c>
      <c r="C11" s="19">
        <f>SUM(C12:C17)</f>
        <v>0</v>
      </c>
      <c r="D11" s="19">
        <f t="shared" ref="D11:E11" si="1">SUM(D12:D17)</f>
        <v>0</v>
      </c>
      <c r="E11" s="19">
        <f t="shared" si="1"/>
        <v>0</v>
      </c>
      <c r="F11" s="19">
        <f t="shared" ref="F11" si="2">SUM(F12:F17)</f>
        <v>0</v>
      </c>
    </row>
    <row r="12" spans="1:6" s="5" customFormat="1" ht="22.5" customHeight="1">
      <c r="A12" s="20" t="s">
        <v>45</v>
      </c>
      <c r="B12" s="20">
        <f t="shared" si="0"/>
        <v>0</v>
      </c>
      <c r="C12" s="20"/>
      <c r="D12" s="20"/>
      <c r="E12" s="20"/>
      <c r="F12" s="20"/>
    </row>
    <row r="13" spans="1:6" s="5" customFormat="1" ht="22.5" customHeight="1">
      <c r="A13" s="20" t="s">
        <v>46</v>
      </c>
      <c r="B13" s="20">
        <f t="shared" si="0"/>
        <v>0</v>
      </c>
      <c r="C13" s="20"/>
      <c r="D13" s="20"/>
      <c r="E13" s="20"/>
      <c r="F13" s="20"/>
    </row>
    <row r="14" spans="1:6" s="15" customFormat="1" ht="22.5" customHeight="1">
      <c r="A14" s="20" t="s">
        <v>47</v>
      </c>
      <c r="B14" s="20">
        <f t="shared" si="0"/>
        <v>0</v>
      </c>
      <c r="C14" s="20"/>
      <c r="D14" s="20"/>
      <c r="E14" s="20"/>
      <c r="F14" s="20"/>
    </row>
    <row r="15" spans="1:6" s="15" customFormat="1" ht="22.5" customHeight="1">
      <c r="A15" s="20" t="s">
        <v>48</v>
      </c>
      <c r="B15" s="20">
        <f t="shared" si="0"/>
        <v>0</v>
      </c>
      <c r="C15" s="20"/>
      <c r="D15" s="20"/>
      <c r="E15" s="20"/>
      <c r="F15" s="20"/>
    </row>
    <row r="16" spans="1:6" s="15" customFormat="1" ht="22.5" customHeight="1">
      <c r="A16" s="20" t="s">
        <v>49</v>
      </c>
      <c r="B16" s="20">
        <f t="shared" si="0"/>
        <v>0</v>
      </c>
      <c r="C16" s="20"/>
      <c r="D16" s="20"/>
      <c r="E16" s="20"/>
      <c r="F16" s="20"/>
    </row>
    <row r="17" spans="1:6" s="5" customFormat="1" ht="22.5" customHeight="1">
      <c r="A17" s="22" t="s">
        <v>50</v>
      </c>
      <c r="B17" s="22">
        <f t="shared" si="0"/>
        <v>0</v>
      </c>
      <c r="C17" s="20"/>
      <c r="D17" s="20"/>
      <c r="E17" s="20"/>
      <c r="F17" s="20"/>
    </row>
    <row r="18" spans="1:6" s="5" customFormat="1" ht="22.5" customHeight="1">
      <c r="A18" s="8" t="s">
        <v>6</v>
      </c>
      <c r="B18" s="8">
        <f t="shared" si="0"/>
        <v>0</v>
      </c>
      <c r="C18" s="21">
        <f>ROUNDDOWN((C11/1000*10%),0)*1000</f>
        <v>0</v>
      </c>
      <c r="D18" s="21">
        <f t="shared" ref="D18:E18" si="3">ROUNDDOWN((D11/1000*10%),0)*1000</f>
        <v>0</v>
      </c>
      <c r="E18" s="21">
        <f t="shared" si="3"/>
        <v>0</v>
      </c>
      <c r="F18" s="21">
        <f t="shared" ref="F18" si="4">ROUNDDOWN((F11/1000*10%),0)*1000</f>
        <v>0</v>
      </c>
    </row>
    <row r="19" spans="1:6" s="5" customFormat="1" ht="22.5" customHeight="1">
      <c r="A19" s="22" t="s">
        <v>7</v>
      </c>
      <c r="B19" s="8">
        <f t="shared" si="0"/>
        <v>0</v>
      </c>
      <c r="C19" s="8">
        <v>0</v>
      </c>
      <c r="D19" s="8">
        <v>0</v>
      </c>
      <c r="E19" s="8">
        <v>0</v>
      </c>
      <c r="F19" s="8">
        <v>0</v>
      </c>
    </row>
    <row r="20" spans="1:6" s="5" customFormat="1" ht="22.5" customHeight="1">
      <c r="A20" s="6" t="s">
        <v>115</v>
      </c>
      <c r="B20" s="8">
        <f t="shared" si="0"/>
        <v>0</v>
      </c>
      <c r="C20" s="8">
        <f>SUM(C18+C11+C19)</f>
        <v>0</v>
      </c>
      <c r="D20" s="8">
        <f t="shared" ref="D20:F20" si="5">SUM(D18+D11+D19)</f>
        <v>0</v>
      </c>
      <c r="E20" s="8">
        <f t="shared" si="5"/>
        <v>0</v>
      </c>
      <c r="F20" s="8">
        <f t="shared" si="5"/>
        <v>0</v>
      </c>
    </row>
    <row r="21" spans="1:6" s="5" customFormat="1" ht="22.5" customHeight="1">
      <c r="A21" s="23" t="s">
        <v>191</v>
      </c>
      <c r="B21" s="8">
        <f t="shared" si="0"/>
        <v>0</v>
      </c>
      <c r="C21" s="21">
        <f>ROUNDDOWN(C20*$B$35,0)</f>
        <v>0</v>
      </c>
      <c r="D21" s="21">
        <f t="shared" ref="D21:F21" si="6">ROUNDDOWN(D20*$B$35,0)</f>
        <v>0</v>
      </c>
      <c r="E21" s="21">
        <f t="shared" si="6"/>
        <v>0</v>
      </c>
      <c r="F21" s="21">
        <f t="shared" si="6"/>
        <v>0</v>
      </c>
    </row>
    <row r="22" spans="1:6" s="5" customFormat="1" ht="22.5" customHeight="1">
      <c r="A22" s="6" t="s">
        <v>31</v>
      </c>
      <c r="B22" s="8">
        <f t="shared" si="0"/>
        <v>0</v>
      </c>
      <c r="C22" s="8">
        <f>SUM(C20:C21)</f>
        <v>0</v>
      </c>
      <c r="D22" s="8">
        <f t="shared" ref="D22:E22" si="7">SUM(D20:D21)</f>
        <v>0</v>
      </c>
      <c r="E22" s="8">
        <f t="shared" si="7"/>
        <v>0</v>
      </c>
      <c r="F22" s="8">
        <f>SUM(F20:F21)</f>
        <v>0</v>
      </c>
    </row>
    <row r="23" spans="1:6" s="5" customFormat="1" ht="22.5" customHeight="1">
      <c r="A23" s="30"/>
      <c r="B23" s="15"/>
      <c r="C23" s="15"/>
      <c r="D23" s="15"/>
      <c r="E23" s="15"/>
      <c r="F23" s="15"/>
    </row>
    <row r="24" spans="1:6" s="56" customFormat="1">
      <c r="A24" s="56" t="s">
        <v>57</v>
      </c>
    </row>
    <row r="25" spans="1:6" s="56" customFormat="1">
      <c r="A25" s="56" t="s">
        <v>173</v>
      </c>
    </row>
    <row r="26" spans="1:6" s="56" customFormat="1">
      <c r="A26" s="56" t="s">
        <v>218</v>
      </c>
    </row>
    <row r="27" spans="1:6" s="56" customFormat="1">
      <c r="A27" s="56" t="s">
        <v>171</v>
      </c>
    </row>
    <row r="28" spans="1:6" s="56" customFormat="1">
      <c r="A28" s="56" t="s">
        <v>172</v>
      </c>
    </row>
    <row r="29" spans="1:6" s="56" customFormat="1">
      <c r="A29" s="56" t="s">
        <v>219</v>
      </c>
    </row>
    <row r="30" spans="1:6" s="56" customFormat="1">
      <c r="A30" s="56" t="s">
        <v>223</v>
      </c>
    </row>
    <row r="31" spans="1:6" s="56" customFormat="1">
      <c r="A31" s="56" t="s">
        <v>167</v>
      </c>
    </row>
    <row r="32" spans="1:6" s="56" customFormat="1">
      <c r="A32" s="56" t="s">
        <v>175</v>
      </c>
    </row>
    <row r="33" spans="1:2">
      <c r="A33" t="s">
        <v>220</v>
      </c>
    </row>
    <row r="35" spans="1:2">
      <c r="A35" s="68" t="s">
        <v>189</v>
      </c>
      <c r="B35" s="67">
        <v>0.1</v>
      </c>
    </row>
  </sheetData>
  <mergeCells count="1">
    <mergeCell ref="A2:F2"/>
  </mergeCells>
  <phoneticPr fontId="9"/>
  <hyperlinks>
    <hyperlink ref="A3" r:id="rId1" display="http://www.nedo.go.jp/content/100640939.pdf"/>
    <hyperlink ref="A4" r:id="rId2" display="http://www.nedo.go.jp/content/100640939.pdf"/>
  </hyperlinks>
  <pageMargins left="0.70866141732283472" right="0.70866141732283472" top="0.74803149606299213" bottom="0.74803149606299213" header="0.31496062992125984" footer="0.31496062992125984"/>
  <pageSetup paperSize="9" scale="84"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会社規模の定義</vt:lpstr>
      <vt:lpstr>会計監査人の定義</vt:lpstr>
      <vt:lpstr>ワーク・ライフ・バランス等認定</vt:lpstr>
      <vt:lpstr>若手及び女性研究者数</vt:lpstr>
      <vt:lpstr>提案基本情報</vt:lpstr>
      <vt:lpstr>再委託先・共同実施先の選定理由</vt:lpstr>
      <vt:lpstr>全期間総括表</vt:lpstr>
      <vt:lpstr>(委託先)企業等</vt:lpstr>
      <vt:lpstr>(委託先)国立研究開発法人等</vt:lpstr>
      <vt:lpstr>(委託先)大学等</vt:lpstr>
      <vt:lpstr>(委託先)消費税の免税事業者等</vt:lpstr>
      <vt:lpstr>(再委託先)企業等 </vt:lpstr>
      <vt:lpstr>(再委託先)国立研究開発法人等 </vt:lpstr>
      <vt:lpstr>(再委託先)大学等 </vt:lpstr>
      <vt:lpstr>(再委託先)消費税の免税事業者等</vt:lpstr>
      <vt:lpstr>（削除・変更禁止）業種コード表</vt:lpstr>
      <vt:lpstr>（削除・変更禁止）データ</vt:lpstr>
      <vt:lpstr>'(委託先)企業等'!Print_Area</vt:lpstr>
      <vt:lpstr>'(委託先)国立研究開発法人等'!Print_Area</vt:lpstr>
      <vt:lpstr>'(委託先)大学等'!Print_Area</vt:lpstr>
      <vt:lpstr>'(再委託先)企業等 '!Print_Area</vt:lpstr>
      <vt:lpstr>'(再委託先)国立研究開発法人等 '!Print_Area</vt:lpstr>
      <vt:lpstr>'(再委託先)大学等 '!Print_Area</vt:lpstr>
      <vt:lpstr>再委託先・共同実施先の選定理由!Print_Area</vt:lpstr>
      <vt:lpstr>全期間総括表!Print_Area</vt:lpstr>
      <vt:lpstr>提案基本情報!Print_Area</vt:lpstr>
      <vt:lpstr>再委託先・共同実施先の選定理由!Print_Titles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2020-01-17T11:10:00Z</dcterms:created>
  <dcterms:modified xsi:type="dcterms:W3CDTF">2020-01-29T09:53:58Z</dcterms:modified>
</cp:coreProperties>
</file>