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1.xml" ContentType="application/vnd.openxmlformats-officedocument.spreadsheetml.comments+xml"/>
  <Override PartName="/xl/tables/table1.xml" ContentType="application/vnd.openxmlformats-officedocument.spreadsheetml.table+xml"/>
  <Override PartName="/xl/drawings/drawing1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workbookPassword="B437" lockStructure="1"/>
  <bookViews>
    <workbookView xWindow="8400" yWindow="0" windowWidth="2820" windowHeight="520"/>
  </bookViews>
  <sheets>
    <sheet name="はじめに" sheetId="57" r:id="rId1"/>
    <sheet name="本ツールの使い方" sheetId="58" r:id="rId2"/>
    <sheet name="入門編_計算シート" sheetId="52" r:id="rId3"/>
    <sheet name="非公開部分→" sheetId="55" state="hidden" r:id="rId4"/>
    <sheet name="インプット" sheetId="26" state="hidden" r:id="rId5"/>
    <sheet name="（詳細設定）地域内経済効果の按分比率" sheetId="53" r:id="rId6"/>
    <sheet name="更新情報" sheetId="60" r:id="rId7"/>
    <sheet name="入力条件の変換" sheetId="51" state="hidden" r:id="rId8"/>
    <sheet name="地域経済性計算シート" sheetId="29" state="hidden" r:id="rId9"/>
    <sheet name="地域経済性分析・初期条件" sheetId="31" state="hidden" r:id="rId10"/>
    <sheet name="計算シート" sheetId="14" state="hidden" r:id="rId11"/>
    <sheet name="波及効果シート" sheetId="54" state="hidden" r:id="rId12"/>
  </sheets>
  <definedNames>
    <definedName name="_xlnm._FilterDatabase" localSheetId="10" hidden="1">計算シート!$B$213:$AH$231</definedName>
    <definedName name="_xlnm.Print_Area" localSheetId="4">インプット!$A$1:$K$106</definedName>
    <definedName name="_xlnm.Print_Area" localSheetId="0">はじめに!$A$1:$V$67</definedName>
    <definedName name="_xlnm.Print_Area" localSheetId="9">地域経済性分析・初期条件!$A$1:$Q$95</definedName>
    <definedName name="_xlnm.Print_Area" localSheetId="11">波及効果シート!#REF!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2" i="52" l="1"/>
  <c r="E133" i="52"/>
  <c r="E134" i="52"/>
  <c r="E135" i="52"/>
  <c r="E131" i="52"/>
  <c r="E130" i="52"/>
  <c r="AG248" i="14"/>
  <c r="AF248" i="14"/>
  <c r="AE248"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C247" i="14"/>
  <c r="E231" i="14"/>
  <c r="C248" i="14"/>
  <c r="C246" i="14"/>
  <c r="C245" i="14"/>
  <c r="C244" i="14"/>
  <c r="C243" i="14"/>
  <c r="C242" i="14"/>
  <c r="R24" i="54" l="1"/>
  <c r="R45" i="54"/>
  <c r="Q45" i="54"/>
  <c r="P45" i="54"/>
  <c r="O45" i="54"/>
  <c r="R44" i="54"/>
  <c r="Q44" i="54"/>
  <c r="P44" i="54"/>
  <c r="O44" i="54"/>
  <c r="R43" i="54"/>
  <c r="Q43" i="54"/>
  <c r="P43" i="54"/>
  <c r="O43" i="54"/>
  <c r="R42" i="54"/>
  <c r="Q42" i="54"/>
  <c r="P42" i="54"/>
  <c r="O42" i="54"/>
  <c r="R41" i="54"/>
  <c r="Q41" i="54"/>
  <c r="P41" i="54"/>
  <c r="O41" i="54"/>
  <c r="R40" i="54"/>
  <c r="Q40" i="54"/>
  <c r="P40" i="54"/>
  <c r="O40" i="54"/>
  <c r="R39" i="54"/>
  <c r="Q39" i="54"/>
  <c r="P39" i="54"/>
  <c r="O39" i="54"/>
  <c r="R38" i="54"/>
  <c r="Q38" i="54"/>
  <c r="P38" i="54"/>
  <c r="O38" i="54"/>
  <c r="R37" i="54"/>
  <c r="Q37" i="54"/>
  <c r="P37" i="54"/>
  <c r="O37" i="54"/>
  <c r="R36" i="54"/>
  <c r="Q36" i="54"/>
  <c r="P36" i="54"/>
  <c r="O36" i="54"/>
  <c r="R35" i="54"/>
  <c r="Q35" i="54"/>
  <c r="P35" i="54"/>
  <c r="O35" i="54"/>
  <c r="R34" i="54"/>
  <c r="Q34" i="54"/>
  <c r="P34" i="54"/>
  <c r="O34" i="54"/>
  <c r="R33" i="54"/>
  <c r="Q33" i="54"/>
  <c r="P33" i="54"/>
  <c r="O33" i="54"/>
  <c r="R32" i="54"/>
  <c r="Q32" i="54"/>
  <c r="P32" i="54"/>
  <c r="O32" i="54"/>
  <c r="R31" i="54"/>
  <c r="Q31" i="54"/>
  <c r="P31" i="54"/>
  <c r="O31" i="54"/>
  <c r="R30" i="54"/>
  <c r="Q30" i="54"/>
  <c r="P30" i="54"/>
  <c r="O30" i="54"/>
  <c r="R29" i="54"/>
  <c r="Q29" i="54"/>
  <c r="P29" i="54"/>
  <c r="O29" i="54"/>
  <c r="R27" i="54"/>
  <c r="Q27" i="54"/>
  <c r="P27" i="54"/>
  <c r="O27" i="54"/>
  <c r="R26" i="54"/>
  <c r="Q26" i="54"/>
  <c r="P26" i="54"/>
  <c r="O26" i="54"/>
  <c r="R25" i="54"/>
  <c r="Q25" i="54"/>
  <c r="P25" i="54"/>
  <c r="O25" i="54"/>
  <c r="Q24" i="54"/>
  <c r="P24" i="54"/>
  <c r="O24" i="54"/>
  <c r="R23" i="54"/>
  <c r="Q23" i="54"/>
  <c r="P23" i="54"/>
  <c r="O23" i="54"/>
  <c r="R22" i="54"/>
  <c r="Q22" i="54"/>
  <c r="P22" i="54"/>
  <c r="O22" i="54"/>
  <c r="R21" i="54"/>
  <c r="Q21" i="54"/>
  <c r="P21" i="54"/>
  <c r="O21" i="54"/>
  <c r="R20" i="54"/>
  <c r="Q20" i="54"/>
  <c r="P20" i="54"/>
  <c r="O20" i="54"/>
  <c r="R19" i="54"/>
  <c r="Q19" i="54"/>
  <c r="P19" i="54"/>
  <c r="O19" i="54"/>
  <c r="R17" i="54"/>
  <c r="Q17" i="54"/>
  <c r="P17" i="54"/>
  <c r="O17" i="54"/>
  <c r="R16" i="54"/>
  <c r="Q16" i="54"/>
  <c r="P16" i="54"/>
  <c r="O16" i="54"/>
  <c r="R15" i="54"/>
  <c r="Q15" i="54"/>
  <c r="P15" i="54"/>
  <c r="O15" i="54"/>
  <c r="R14" i="54"/>
  <c r="Q14" i="54"/>
  <c r="P14" i="54"/>
  <c r="O14" i="54"/>
  <c r="R13" i="54"/>
  <c r="Q13" i="54"/>
  <c r="P13" i="54"/>
  <c r="O13" i="54"/>
  <c r="R12" i="54"/>
  <c r="Q12" i="54"/>
  <c r="P12" i="54"/>
  <c r="O12" i="54"/>
  <c r="R11" i="54"/>
  <c r="Q11" i="54"/>
  <c r="P11" i="54"/>
  <c r="O11" i="54"/>
  <c r="R10" i="54"/>
  <c r="Q10" i="54"/>
  <c r="P10" i="54"/>
  <c r="O10" i="54"/>
  <c r="R9" i="54"/>
  <c r="Q9" i="54"/>
  <c r="P9" i="54"/>
  <c r="O9" i="54"/>
  <c r="R8" i="54"/>
  <c r="Q8" i="54"/>
  <c r="P8" i="54"/>
  <c r="O8" i="54"/>
  <c r="R7" i="54"/>
  <c r="Q7" i="54"/>
  <c r="P7" i="54"/>
  <c r="O7" i="54"/>
  <c r="R6" i="54"/>
  <c r="Q6" i="54"/>
  <c r="P6" i="54"/>
  <c r="O6" i="54"/>
  <c r="R5" i="54"/>
  <c r="Q5" i="54"/>
  <c r="P5" i="54"/>
  <c r="O5" i="54"/>
  <c r="R4" i="54"/>
  <c r="Q4" i="54"/>
  <c r="P4" i="54"/>
  <c r="O4" i="54"/>
  <c r="Y13" i="54"/>
  <c r="Z45" i="54"/>
  <c r="Y45" i="54"/>
  <c r="X45" i="54"/>
  <c r="W45" i="54"/>
  <c r="Z44" i="54"/>
  <c r="Y44" i="54"/>
  <c r="X44" i="54"/>
  <c r="W44" i="54"/>
  <c r="Z43" i="54"/>
  <c r="Y43" i="54"/>
  <c r="X43" i="54"/>
  <c r="W43" i="54"/>
  <c r="Z42" i="54"/>
  <c r="Y42" i="54"/>
  <c r="X42" i="54"/>
  <c r="W42" i="54"/>
  <c r="Z41" i="54"/>
  <c r="Y41" i="54"/>
  <c r="X41" i="54"/>
  <c r="W41" i="54"/>
  <c r="Z40" i="54"/>
  <c r="Y40" i="54"/>
  <c r="X40" i="54"/>
  <c r="W40" i="54"/>
  <c r="Z39" i="54"/>
  <c r="Y39" i="54"/>
  <c r="X39" i="54"/>
  <c r="W39" i="54"/>
  <c r="Z38" i="54"/>
  <c r="Y38" i="54"/>
  <c r="X38" i="54"/>
  <c r="W38" i="54"/>
  <c r="Z37" i="54"/>
  <c r="Y37" i="54"/>
  <c r="X37" i="54"/>
  <c r="W37" i="54"/>
  <c r="Z36" i="54"/>
  <c r="Y36" i="54"/>
  <c r="X36" i="54"/>
  <c r="W36" i="54"/>
  <c r="Z35" i="54"/>
  <c r="Y35" i="54"/>
  <c r="X35" i="54"/>
  <c r="W35" i="54"/>
  <c r="Z34" i="54"/>
  <c r="Y34" i="54"/>
  <c r="X34" i="54"/>
  <c r="W34" i="54"/>
  <c r="Z33" i="54"/>
  <c r="Y33" i="54"/>
  <c r="X33" i="54"/>
  <c r="W33" i="54"/>
  <c r="Z32" i="54"/>
  <c r="Y32" i="54"/>
  <c r="X32" i="54"/>
  <c r="W32" i="54"/>
  <c r="Z31" i="54"/>
  <c r="Y31" i="54"/>
  <c r="X31" i="54"/>
  <c r="W31" i="54"/>
  <c r="Z30" i="54"/>
  <c r="Y30" i="54"/>
  <c r="X30" i="54"/>
  <c r="W30" i="54"/>
  <c r="Z29" i="54"/>
  <c r="Y29" i="54"/>
  <c r="X29" i="54"/>
  <c r="W29" i="54"/>
  <c r="Z27" i="54"/>
  <c r="Y27" i="54"/>
  <c r="X27" i="54"/>
  <c r="W27" i="54"/>
  <c r="Z26" i="54"/>
  <c r="Y26" i="54"/>
  <c r="X26" i="54"/>
  <c r="W26" i="54"/>
  <c r="Z25" i="54"/>
  <c r="Y25" i="54"/>
  <c r="X25" i="54"/>
  <c r="W25" i="54"/>
  <c r="Z24" i="54"/>
  <c r="Y24" i="54"/>
  <c r="X24" i="54"/>
  <c r="W24" i="54"/>
  <c r="Z23" i="54"/>
  <c r="Y23" i="54"/>
  <c r="X23" i="54"/>
  <c r="W23" i="54"/>
  <c r="Z22" i="54"/>
  <c r="Y22" i="54"/>
  <c r="X22" i="54"/>
  <c r="W22" i="54"/>
  <c r="Z21" i="54"/>
  <c r="Y21" i="54"/>
  <c r="X21" i="54"/>
  <c r="W21" i="54"/>
  <c r="Z20" i="54"/>
  <c r="Y20" i="54"/>
  <c r="X20" i="54"/>
  <c r="W20" i="54"/>
  <c r="Z19" i="54"/>
  <c r="Y19" i="54"/>
  <c r="X19" i="54"/>
  <c r="W19" i="54"/>
  <c r="Z17" i="54"/>
  <c r="Y17" i="54"/>
  <c r="X17" i="54"/>
  <c r="W17" i="54"/>
  <c r="Z16" i="54"/>
  <c r="Y16" i="54"/>
  <c r="X16" i="54"/>
  <c r="W16" i="54"/>
  <c r="Z15" i="54"/>
  <c r="Y15" i="54"/>
  <c r="X15" i="54"/>
  <c r="W15" i="54"/>
  <c r="Z14" i="54"/>
  <c r="Y14" i="54"/>
  <c r="X14" i="54"/>
  <c r="W14" i="54"/>
  <c r="Z13" i="54"/>
  <c r="X13" i="54"/>
  <c r="W13" i="54"/>
  <c r="Z12" i="54"/>
  <c r="Y12" i="54"/>
  <c r="X12" i="54"/>
  <c r="W12" i="54"/>
  <c r="Z11" i="54"/>
  <c r="Y11" i="54"/>
  <c r="X11" i="54"/>
  <c r="W11" i="54"/>
  <c r="Z10" i="54"/>
  <c r="Y10" i="54"/>
  <c r="X10" i="54"/>
  <c r="W10" i="54"/>
  <c r="Z9" i="54"/>
  <c r="Y9" i="54"/>
  <c r="X9" i="54"/>
  <c r="W9" i="54"/>
  <c r="Z8" i="54"/>
  <c r="Y8" i="54"/>
  <c r="X8" i="54"/>
  <c r="W8" i="54"/>
  <c r="Z7" i="54"/>
  <c r="Y7" i="54"/>
  <c r="X7" i="54"/>
  <c r="W7" i="54"/>
  <c r="Z6" i="54"/>
  <c r="Y6" i="54"/>
  <c r="X6" i="54"/>
  <c r="W6" i="54"/>
  <c r="Z5" i="54"/>
  <c r="Y5" i="54"/>
  <c r="X5" i="54"/>
  <c r="W5" i="54"/>
  <c r="Z4" i="54"/>
  <c r="Y4" i="54"/>
  <c r="X4" i="54"/>
  <c r="W4" i="54"/>
  <c r="D332" i="29" l="1"/>
  <c r="D484" i="29"/>
  <c r="D487" i="29"/>
  <c r="D515" i="29"/>
  <c r="D504" i="29"/>
  <c r="D505" i="29"/>
  <c r="D500" i="29"/>
  <c r="D499" i="29"/>
  <c r="D498" i="29"/>
  <c r="D497" i="29"/>
  <c r="D496" i="29"/>
  <c r="D495" i="29"/>
  <c r="D494" i="29"/>
  <c r="D493" i="29"/>
  <c r="D492" i="29"/>
  <c r="D491" i="29"/>
  <c r="D490" i="29"/>
  <c r="AH489" i="29"/>
  <c r="AG489" i="29"/>
  <c r="AF489" i="29"/>
  <c r="AE489" i="29"/>
  <c r="AD489" i="29"/>
  <c r="AC489" i="29"/>
  <c r="AB489" i="29"/>
  <c r="AA489" i="29"/>
  <c r="Z489" i="29"/>
  <c r="Y489" i="29"/>
  <c r="X489" i="29"/>
  <c r="W489" i="29"/>
  <c r="V489" i="29"/>
  <c r="U489" i="29"/>
  <c r="T489" i="29"/>
  <c r="S489" i="29"/>
  <c r="R489" i="29"/>
  <c r="Q489" i="29"/>
  <c r="P489" i="29"/>
  <c r="O489" i="29"/>
  <c r="N489" i="29"/>
  <c r="M489" i="29"/>
  <c r="L489" i="29"/>
  <c r="K489" i="29"/>
  <c r="J489" i="29"/>
  <c r="I489" i="29"/>
  <c r="H489" i="29"/>
  <c r="G489" i="29"/>
  <c r="F489" i="29"/>
  <c r="E489" i="29"/>
  <c r="D486" i="29"/>
  <c r="D485" i="29"/>
  <c r="AK483" i="29"/>
  <c r="AJ483" i="29"/>
  <c r="AI483" i="29"/>
  <c r="D516" i="29"/>
  <c r="D514" i="29"/>
  <c r="D513" i="29"/>
  <c r="AH512" i="29"/>
  <c r="AG512" i="29"/>
  <c r="AF512" i="29"/>
  <c r="AE512" i="29"/>
  <c r="AD512" i="29"/>
  <c r="AC512" i="29"/>
  <c r="AB512" i="29"/>
  <c r="AA512" i="29"/>
  <c r="Z512" i="29"/>
  <c r="Y512" i="29"/>
  <c r="X512" i="29"/>
  <c r="W512" i="29"/>
  <c r="V512" i="29"/>
  <c r="U512" i="29"/>
  <c r="T512" i="29"/>
  <c r="S512" i="29"/>
  <c r="R512" i="29"/>
  <c r="Q512" i="29"/>
  <c r="P512" i="29"/>
  <c r="O512" i="29"/>
  <c r="N512" i="29"/>
  <c r="M512" i="29"/>
  <c r="L512" i="29"/>
  <c r="K512" i="29"/>
  <c r="J512" i="29"/>
  <c r="I512" i="29"/>
  <c r="H512" i="29"/>
  <c r="G512" i="29"/>
  <c r="F512" i="29"/>
  <c r="E512" i="29"/>
  <c r="D519" i="29"/>
  <c r="AK431" i="29"/>
  <c r="AJ431" i="29"/>
  <c r="AI431" i="29"/>
  <c r="AH396" i="29"/>
  <c r="AG396" i="29"/>
  <c r="AF396" i="29"/>
  <c r="AE396" i="29"/>
  <c r="AD396" i="29"/>
  <c r="AC396" i="29"/>
  <c r="AB396" i="29"/>
  <c r="AA396" i="29"/>
  <c r="Z396" i="29"/>
  <c r="Y396" i="29"/>
  <c r="X396" i="29"/>
  <c r="W396" i="29"/>
  <c r="V396" i="29"/>
  <c r="U396" i="29"/>
  <c r="T396" i="29"/>
  <c r="S396" i="29"/>
  <c r="R396" i="29"/>
  <c r="Q396" i="29"/>
  <c r="P396" i="29"/>
  <c r="O396" i="29"/>
  <c r="N396" i="29"/>
  <c r="M396" i="29"/>
  <c r="L396" i="29"/>
  <c r="K396" i="29"/>
  <c r="J396" i="29"/>
  <c r="I396" i="29"/>
  <c r="H396" i="29"/>
  <c r="G396" i="29"/>
  <c r="D476" i="29"/>
  <c r="D475" i="29"/>
  <c r="D474" i="29"/>
  <c r="D473" i="29"/>
  <c r="D472" i="29"/>
  <c r="D471" i="29"/>
  <c r="D470" i="29"/>
  <c r="D469" i="29"/>
  <c r="D468" i="29"/>
  <c r="D467" i="29"/>
  <c r="D539" i="29" s="1"/>
  <c r="D466" i="29"/>
  <c r="D460" i="29"/>
  <c r="D459" i="29"/>
  <c r="D458" i="29"/>
  <c r="D457" i="29"/>
  <c r="D462" i="29" s="1"/>
  <c r="D456" i="29"/>
  <c r="D455" i="29"/>
  <c r="D454" i="29"/>
  <c r="D453" i="29"/>
  <c r="D452" i="29"/>
  <c r="D451" i="29"/>
  <c r="D450" i="29"/>
  <c r="D449" i="29"/>
  <c r="D432" i="29"/>
  <c r="D414" i="29"/>
  <c r="F396" i="29"/>
  <c r="E396" i="29"/>
  <c r="D286" i="29"/>
  <c r="D285" i="29"/>
  <c r="D389" i="29"/>
  <c r="D390" i="29" s="1"/>
  <c r="D477" i="29" s="1"/>
  <c r="D317" i="29"/>
  <c r="D303" i="29"/>
  <c r="D258" i="29"/>
  <c r="D244" i="29"/>
  <c r="D199" i="29"/>
  <c r="D213" i="29"/>
  <c r="D168" i="29"/>
  <c r="D154" i="29"/>
  <c r="AH92" i="29"/>
  <c r="AG92" i="29"/>
  <c r="AF92" i="29"/>
  <c r="AE92" i="29"/>
  <c r="AD92" i="29"/>
  <c r="AC92" i="29"/>
  <c r="AB92" i="29"/>
  <c r="AA92" i="29"/>
  <c r="Z92" i="29"/>
  <c r="Y92" i="29"/>
  <c r="X92" i="29"/>
  <c r="W92" i="29"/>
  <c r="W108" i="29" s="1"/>
  <c r="W109" i="29" s="1"/>
  <c r="V92" i="29"/>
  <c r="V122" i="29" s="1"/>
  <c r="U92" i="29"/>
  <c r="T92" i="29"/>
  <c r="S92" i="29"/>
  <c r="R92" i="29"/>
  <c r="Q92" i="29"/>
  <c r="P92" i="29"/>
  <c r="O92" i="29"/>
  <c r="N92" i="29"/>
  <c r="N108" i="29" s="1"/>
  <c r="M92" i="29"/>
  <c r="L92" i="29"/>
  <c r="K92" i="29"/>
  <c r="J92" i="29"/>
  <c r="I92" i="29"/>
  <c r="H92" i="29"/>
  <c r="G92" i="29"/>
  <c r="G108" i="29" s="1"/>
  <c r="F92" i="29"/>
  <c r="F108" i="29" s="1"/>
  <c r="E92" i="29"/>
  <c r="E108" i="29" s="1"/>
  <c r="AH47" i="29"/>
  <c r="AH63" i="29" s="1"/>
  <c r="AH64" i="29" s="1"/>
  <c r="AG47" i="29"/>
  <c r="AG63" i="29" s="1"/>
  <c r="AG64" i="29" s="1"/>
  <c r="AF47" i="29"/>
  <c r="AE47" i="29"/>
  <c r="AD47" i="29"/>
  <c r="AC47" i="29"/>
  <c r="AB47" i="29"/>
  <c r="AA47" i="29"/>
  <c r="AA63" i="29" s="1"/>
  <c r="Z47" i="29"/>
  <c r="Y47" i="29"/>
  <c r="X47" i="29"/>
  <c r="X63" i="29" s="1"/>
  <c r="W47" i="29"/>
  <c r="W77" i="29" s="1"/>
  <c r="W80" i="29" s="1"/>
  <c r="V47" i="29"/>
  <c r="U47" i="29"/>
  <c r="T47" i="29"/>
  <c r="T77" i="29" s="1"/>
  <c r="S47" i="29"/>
  <c r="R47" i="29"/>
  <c r="Q47" i="29"/>
  <c r="P47" i="29"/>
  <c r="P63" i="29" s="1"/>
  <c r="O47" i="29"/>
  <c r="N47" i="29"/>
  <c r="M47" i="29"/>
  <c r="L47" i="29"/>
  <c r="K47" i="29"/>
  <c r="J47" i="29"/>
  <c r="I47" i="29"/>
  <c r="I63" i="29" s="1"/>
  <c r="H47" i="29"/>
  <c r="H63" i="29" s="1"/>
  <c r="G47" i="29"/>
  <c r="G77" i="29" s="1"/>
  <c r="G79" i="29" s="1"/>
  <c r="F47" i="29"/>
  <c r="E47" i="29"/>
  <c r="A121" i="29"/>
  <c r="A130" i="29" s="1"/>
  <c r="A107" i="29"/>
  <c r="A116" i="29" s="1"/>
  <c r="A93" i="29"/>
  <c r="A101" i="29" s="1"/>
  <c r="AK43" i="29"/>
  <c r="D63" i="54"/>
  <c r="D62" i="54"/>
  <c r="D57" i="54"/>
  <c r="D56" i="54"/>
  <c r="D461" i="29" l="1"/>
  <c r="D463" i="29" s="1"/>
  <c r="D527" i="29"/>
  <c r="D479" i="29"/>
  <c r="D318" i="29"/>
  <c r="D478" i="29"/>
  <c r="AH108" i="29"/>
  <c r="D158" i="29"/>
  <c r="D202" i="29"/>
  <c r="D203" i="29"/>
  <c r="D157" i="29"/>
  <c r="D262" i="29"/>
  <c r="D217" i="29"/>
  <c r="D306" i="29"/>
  <c r="D307" i="29"/>
  <c r="D320" i="29"/>
  <c r="D321" i="29"/>
  <c r="D261" i="29"/>
  <c r="D248" i="29"/>
  <c r="D247" i="29"/>
  <c r="D216" i="29"/>
  <c r="D171" i="29"/>
  <c r="D172" i="29"/>
  <c r="D319" i="29"/>
  <c r="D170" i="29"/>
  <c r="D304" i="29"/>
  <c r="D305" i="29"/>
  <c r="AH112" i="29"/>
  <c r="O63" i="29"/>
  <c r="AG66" i="29"/>
  <c r="AH66" i="29"/>
  <c r="U108" i="29"/>
  <c r="U111" i="29" s="1"/>
  <c r="D259" i="29"/>
  <c r="D169" i="29"/>
  <c r="D200" i="29"/>
  <c r="D215" i="29"/>
  <c r="D245" i="29"/>
  <c r="D246" i="29"/>
  <c r="D201" i="29"/>
  <c r="D214" i="29"/>
  <c r="D260" i="29"/>
  <c r="D156" i="29"/>
  <c r="D155" i="29"/>
  <c r="O108" i="29"/>
  <c r="U122" i="29"/>
  <c r="U125" i="29" s="1"/>
  <c r="I65" i="29"/>
  <c r="W79" i="29"/>
  <c r="E77" i="29"/>
  <c r="M77" i="29"/>
  <c r="M63" i="29"/>
  <c r="U77" i="29"/>
  <c r="U63" i="29"/>
  <c r="AC77" i="29"/>
  <c r="AC63" i="29"/>
  <c r="V77" i="29"/>
  <c r="V63" i="29"/>
  <c r="T79" i="29"/>
  <c r="T81" i="29"/>
  <c r="T78" i="29"/>
  <c r="AA64" i="29"/>
  <c r="AA67" i="29"/>
  <c r="AA65" i="29"/>
  <c r="AA66" i="29"/>
  <c r="N77" i="29"/>
  <c r="N63" i="29"/>
  <c r="H66" i="29"/>
  <c r="H67" i="29"/>
  <c r="H64" i="29"/>
  <c r="H65" i="29"/>
  <c r="P66" i="29"/>
  <c r="P67" i="29"/>
  <c r="P65" i="29"/>
  <c r="P64" i="29"/>
  <c r="O67" i="29"/>
  <c r="T80" i="29"/>
  <c r="AD77" i="29"/>
  <c r="AD63" i="29"/>
  <c r="S63" i="29"/>
  <c r="S77" i="29"/>
  <c r="AA77" i="29"/>
  <c r="F77" i="29"/>
  <c r="F63" i="29"/>
  <c r="K77" i="29"/>
  <c r="K63" i="29"/>
  <c r="L77" i="29"/>
  <c r="L63" i="29"/>
  <c r="T63" i="29"/>
  <c r="AB77" i="29"/>
  <c r="AB63" i="29"/>
  <c r="E63" i="29"/>
  <c r="X66" i="29"/>
  <c r="X67" i="29"/>
  <c r="K122" i="29"/>
  <c r="K108" i="29"/>
  <c r="S122" i="29"/>
  <c r="S108" i="29"/>
  <c r="AA108" i="29"/>
  <c r="AA122" i="29"/>
  <c r="G63" i="29"/>
  <c r="I64" i="29"/>
  <c r="AG65" i="29"/>
  <c r="L108" i="29"/>
  <c r="L122" i="29"/>
  <c r="T122" i="29"/>
  <c r="T108" i="29"/>
  <c r="AB108" i="29"/>
  <c r="AB122" i="29"/>
  <c r="G81" i="29"/>
  <c r="G78" i="29"/>
  <c r="O77" i="29"/>
  <c r="W81" i="29"/>
  <c r="W78" i="29"/>
  <c r="AE77" i="29"/>
  <c r="X65" i="29"/>
  <c r="AH65" i="29"/>
  <c r="I77" i="29"/>
  <c r="V125" i="29"/>
  <c r="V123" i="29"/>
  <c r="V126" i="29"/>
  <c r="V124" i="29"/>
  <c r="H77" i="29"/>
  <c r="P77" i="29"/>
  <c r="X77" i="29"/>
  <c r="AF77" i="29"/>
  <c r="AE63" i="29"/>
  <c r="AG77" i="29"/>
  <c r="G80" i="29"/>
  <c r="I67" i="29"/>
  <c r="Q63" i="29"/>
  <c r="Y77" i="29"/>
  <c r="Y63" i="29"/>
  <c r="AG67" i="29"/>
  <c r="AF63" i="29"/>
  <c r="X64" i="29"/>
  <c r="Q77" i="29"/>
  <c r="AH77" i="29"/>
  <c r="J63" i="29"/>
  <c r="J77" i="29"/>
  <c r="R63" i="29"/>
  <c r="Z77" i="29"/>
  <c r="Z63" i="29"/>
  <c r="AH67" i="29"/>
  <c r="W63" i="29"/>
  <c r="I66" i="29"/>
  <c r="R77" i="29"/>
  <c r="E111" i="29"/>
  <c r="E112" i="29"/>
  <c r="E109" i="29"/>
  <c r="E110" i="29"/>
  <c r="H122" i="29"/>
  <c r="H108" i="29"/>
  <c r="P122" i="29"/>
  <c r="P108" i="29"/>
  <c r="X122" i="29"/>
  <c r="X108" i="29"/>
  <c r="AF122" i="29"/>
  <c r="AF108" i="29"/>
  <c r="F111" i="29"/>
  <c r="F112" i="29"/>
  <c r="F109" i="29"/>
  <c r="F110" i="29"/>
  <c r="N111" i="29"/>
  <c r="N112" i="29"/>
  <c r="N110" i="29"/>
  <c r="N109" i="29"/>
  <c r="F122" i="29"/>
  <c r="N122" i="29"/>
  <c r="AD122" i="29"/>
  <c r="AD108" i="29"/>
  <c r="G112" i="29"/>
  <c r="G111" i="29"/>
  <c r="G109" i="29"/>
  <c r="G110" i="29"/>
  <c r="W112" i="29"/>
  <c r="W111" i="29"/>
  <c r="W110" i="29"/>
  <c r="V108" i="29"/>
  <c r="I108" i="29"/>
  <c r="Q122" i="29"/>
  <c r="Q108" i="29"/>
  <c r="Y122" i="29"/>
  <c r="Y108" i="29"/>
  <c r="AG122" i="29"/>
  <c r="AG108" i="29"/>
  <c r="AH109" i="29"/>
  <c r="AH110" i="29"/>
  <c r="AH111" i="29"/>
  <c r="I122" i="29"/>
  <c r="J108" i="29"/>
  <c r="R122" i="29"/>
  <c r="R108" i="29"/>
  <c r="Z122" i="29"/>
  <c r="Z108" i="29"/>
  <c r="AH122" i="29"/>
  <c r="J122" i="29"/>
  <c r="E122" i="29"/>
  <c r="M122" i="29"/>
  <c r="AC122" i="29"/>
  <c r="AC108" i="29"/>
  <c r="G122" i="29"/>
  <c r="O122" i="29"/>
  <c r="W122" i="29"/>
  <c r="AE108" i="29"/>
  <c r="AE122" i="29"/>
  <c r="M108" i="29"/>
  <c r="A114" i="29"/>
  <c r="A115" i="29"/>
  <c r="A102" i="29"/>
  <c r="A127" i="29"/>
  <c r="A99" i="29"/>
  <c r="A122" i="29"/>
  <c r="A128" i="29"/>
  <c r="A100" i="29"/>
  <c r="A129" i="29"/>
  <c r="A113" i="29"/>
  <c r="A94" i="29"/>
  <c r="A108" i="29"/>
  <c r="U123" i="29" l="1"/>
  <c r="O65" i="29"/>
  <c r="O64" i="29"/>
  <c r="U109" i="29"/>
  <c r="U124" i="29"/>
  <c r="O66" i="29"/>
  <c r="U126" i="29"/>
  <c r="U110" i="29"/>
  <c r="U112" i="29"/>
  <c r="O110" i="29"/>
  <c r="O109" i="29"/>
  <c r="O111" i="29"/>
  <c r="O112" i="29"/>
  <c r="O126" i="29"/>
  <c r="O124" i="29"/>
  <c r="O125" i="29"/>
  <c r="O123" i="29"/>
  <c r="H126" i="29"/>
  <c r="H125" i="29"/>
  <c r="H123" i="29"/>
  <c r="H124" i="29"/>
  <c r="AG78" i="29"/>
  <c r="AG79" i="29"/>
  <c r="AG81" i="29"/>
  <c r="AG80" i="29"/>
  <c r="X81" i="29"/>
  <c r="X78" i="29"/>
  <c r="X80" i="29"/>
  <c r="X79" i="29"/>
  <c r="T124" i="29"/>
  <c r="T126" i="29"/>
  <c r="T125" i="29"/>
  <c r="T123" i="29"/>
  <c r="M111" i="29"/>
  <c r="M110" i="29"/>
  <c r="M112" i="29"/>
  <c r="M109" i="29"/>
  <c r="M125" i="29"/>
  <c r="M123" i="29"/>
  <c r="M126" i="29"/>
  <c r="M124" i="29"/>
  <c r="Z123" i="29"/>
  <c r="Z126" i="29"/>
  <c r="Z124" i="29"/>
  <c r="Z125" i="29"/>
  <c r="I125" i="29"/>
  <c r="I126" i="29"/>
  <c r="I124" i="29"/>
  <c r="I123" i="29"/>
  <c r="AG109" i="29"/>
  <c r="AG111" i="29"/>
  <c r="AG110" i="29"/>
  <c r="AG112" i="29"/>
  <c r="AG126" i="29"/>
  <c r="AG124" i="29"/>
  <c r="AG125" i="29"/>
  <c r="AG123" i="29"/>
  <c r="Q125" i="29"/>
  <c r="Q123" i="29"/>
  <c r="Q124" i="29"/>
  <c r="Q126" i="29"/>
  <c r="X126" i="29"/>
  <c r="X125" i="29"/>
  <c r="X124" i="29"/>
  <c r="X123" i="29"/>
  <c r="R67" i="29"/>
  <c r="R66" i="29"/>
  <c r="R64" i="29"/>
  <c r="R65" i="29"/>
  <c r="AE66" i="29"/>
  <c r="AE67" i="29"/>
  <c r="AE64" i="29"/>
  <c r="AE65" i="29"/>
  <c r="S110" i="29"/>
  <c r="S111" i="29"/>
  <c r="S109" i="29"/>
  <c r="S112" i="29"/>
  <c r="L64" i="29"/>
  <c r="L67" i="29"/>
  <c r="L65" i="29"/>
  <c r="L66" i="29"/>
  <c r="F65" i="29"/>
  <c r="F66" i="29"/>
  <c r="F67" i="29"/>
  <c r="F64" i="29"/>
  <c r="N65" i="29"/>
  <c r="N64" i="29"/>
  <c r="N66" i="29"/>
  <c r="N67" i="29"/>
  <c r="U65" i="29"/>
  <c r="U67" i="29"/>
  <c r="U64" i="29"/>
  <c r="U66" i="29"/>
  <c r="Y109" i="29"/>
  <c r="Y110" i="29"/>
  <c r="Y112" i="29"/>
  <c r="Y111" i="29"/>
  <c r="S125" i="29"/>
  <c r="S124" i="29"/>
  <c r="S126" i="29"/>
  <c r="S123" i="29"/>
  <c r="F80" i="29"/>
  <c r="F78" i="29"/>
  <c r="F81" i="29"/>
  <c r="F79" i="29"/>
  <c r="N80" i="29"/>
  <c r="N81" i="29"/>
  <c r="N79" i="29"/>
  <c r="N78" i="29"/>
  <c r="AE112" i="29"/>
  <c r="AE109" i="29"/>
  <c r="AE111" i="29"/>
  <c r="AE110" i="29"/>
  <c r="E123" i="29"/>
  <c r="E126" i="29"/>
  <c r="E124" i="29"/>
  <c r="E125" i="29"/>
  <c r="I109" i="29"/>
  <c r="I111" i="29"/>
  <c r="I110" i="29"/>
  <c r="I112" i="29"/>
  <c r="AD125" i="29"/>
  <c r="AD124" i="29"/>
  <c r="AD126" i="29"/>
  <c r="AD123" i="29"/>
  <c r="P112" i="29"/>
  <c r="P109" i="29"/>
  <c r="P111" i="29"/>
  <c r="P110" i="29"/>
  <c r="R78" i="29"/>
  <c r="R80" i="29"/>
  <c r="R81" i="29"/>
  <c r="R79" i="29"/>
  <c r="J78" i="29"/>
  <c r="J80" i="29"/>
  <c r="J79" i="29"/>
  <c r="J81" i="29"/>
  <c r="AF66" i="29"/>
  <c r="AF67" i="29"/>
  <c r="AF64" i="29"/>
  <c r="AF65" i="29"/>
  <c r="I78" i="29"/>
  <c r="I79" i="29"/>
  <c r="I81" i="29"/>
  <c r="I80" i="29"/>
  <c r="O81" i="29"/>
  <c r="O78" i="29"/>
  <c r="O80" i="29"/>
  <c r="O79" i="29"/>
  <c r="AB124" i="29"/>
  <c r="AB125" i="29"/>
  <c r="AB126" i="29"/>
  <c r="AB123" i="29"/>
  <c r="L124" i="29"/>
  <c r="L123" i="29"/>
  <c r="L125" i="29"/>
  <c r="L126" i="29"/>
  <c r="AB64" i="29"/>
  <c r="AB66" i="29"/>
  <c r="AB67" i="29"/>
  <c r="AB65" i="29"/>
  <c r="L79" i="29"/>
  <c r="L81" i="29"/>
  <c r="L80" i="29"/>
  <c r="L78" i="29"/>
  <c r="S64" i="29"/>
  <c r="S66" i="29"/>
  <c r="S67" i="29"/>
  <c r="S65" i="29"/>
  <c r="P81" i="29"/>
  <c r="P80" i="29"/>
  <c r="P79" i="29"/>
  <c r="P78" i="29"/>
  <c r="S79" i="29"/>
  <c r="S80" i="29"/>
  <c r="S78" i="29"/>
  <c r="S81" i="29"/>
  <c r="U80" i="29"/>
  <c r="U81" i="29"/>
  <c r="U78" i="29"/>
  <c r="U79" i="29"/>
  <c r="R109" i="29"/>
  <c r="R110" i="29"/>
  <c r="R112" i="29"/>
  <c r="R111" i="29"/>
  <c r="R123" i="29"/>
  <c r="R125" i="29"/>
  <c r="R124" i="29"/>
  <c r="R126" i="29"/>
  <c r="Y123" i="29"/>
  <c r="Y124" i="29"/>
  <c r="Y126" i="29"/>
  <c r="Y125" i="29"/>
  <c r="AF112" i="29"/>
  <c r="AF111" i="29"/>
  <c r="AF110" i="29"/>
  <c r="AF109" i="29"/>
  <c r="J67" i="29"/>
  <c r="J64" i="29"/>
  <c r="J65" i="29"/>
  <c r="J66" i="29"/>
  <c r="H81" i="29"/>
  <c r="H78" i="29"/>
  <c r="H80" i="29"/>
  <c r="H79" i="29"/>
  <c r="AB110" i="29"/>
  <c r="AB111" i="29"/>
  <c r="AB112" i="29"/>
  <c r="AB109" i="29"/>
  <c r="L110" i="29"/>
  <c r="L111" i="29"/>
  <c r="L112" i="29"/>
  <c r="L109" i="29"/>
  <c r="E65" i="29"/>
  <c r="E64" i="29"/>
  <c r="E66" i="29"/>
  <c r="E67" i="29"/>
  <c r="AB79" i="29"/>
  <c r="AB81" i="29"/>
  <c r="AB80" i="29"/>
  <c r="AB78" i="29"/>
  <c r="V65" i="29"/>
  <c r="V67" i="29"/>
  <c r="V64" i="29"/>
  <c r="V66" i="29"/>
  <c r="M65" i="29"/>
  <c r="M67" i="29"/>
  <c r="M64" i="29"/>
  <c r="M66" i="29"/>
  <c r="G126" i="29"/>
  <c r="G125" i="29"/>
  <c r="G123" i="29"/>
  <c r="G124" i="29"/>
  <c r="AC111" i="29"/>
  <c r="AC112" i="29"/>
  <c r="AC109" i="29"/>
  <c r="AC110" i="29"/>
  <c r="V111" i="29"/>
  <c r="V112" i="29"/>
  <c r="V110" i="29"/>
  <c r="V109" i="29"/>
  <c r="AF126" i="29"/>
  <c r="AF123" i="29"/>
  <c r="AF124" i="29"/>
  <c r="AF125" i="29"/>
  <c r="G66" i="29"/>
  <c r="G65" i="29"/>
  <c r="G67" i="29"/>
  <c r="G64" i="29"/>
  <c r="K110" i="29"/>
  <c r="K109" i="29"/>
  <c r="K112" i="29"/>
  <c r="K111" i="29"/>
  <c r="K64" i="29"/>
  <c r="K67" i="29"/>
  <c r="K65" i="29"/>
  <c r="K66" i="29"/>
  <c r="V80" i="29"/>
  <c r="V78" i="29"/>
  <c r="V81" i="29"/>
  <c r="V79" i="29"/>
  <c r="M80" i="29"/>
  <c r="M81" i="29"/>
  <c r="M79" i="29"/>
  <c r="M78" i="29"/>
  <c r="J123" i="29"/>
  <c r="J126" i="29"/>
  <c r="J124" i="29"/>
  <c r="J125" i="29"/>
  <c r="P126" i="29"/>
  <c r="P125" i="29"/>
  <c r="P124" i="29"/>
  <c r="P123" i="29"/>
  <c r="Y67" i="29"/>
  <c r="Y64" i="29"/>
  <c r="Y65" i="29"/>
  <c r="Y66" i="29"/>
  <c r="W126" i="29"/>
  <c r="W123" i="29"/>
  <c r="W125" i="29"/>
  <c r="W124" i="29"/>
  <c r="AC125" i="29"/>
  <c r="AC124" i="29"/>
  <c r="AC126" i="29"/>
  <c r="AC123" i="29"/>
  <c r="AH123" i="29"/>
  <c r="AH125" i="29"/>
  <c r="AH126" i="29"/>
  <c r="AH124" i="29"/>
  <c r="J109" i="29"/>
  <c r="J110" i="29"/>
  <c r="J111" i="29"/>
  <c r="J112" i="29"/>
  <c r="N125" i="29"/>
  <c r="N123" i="29"/>
  <c r="N126" i="29"/>
  <c r="N124" i="29"/>
  <c r="H112" i="29"/>
  <c r="H111" i="29"/>
  <c r="H109" i="29"/>
  <c r="H110" i="29"/>
  <c r="Z67" i="29"/>
  <c r="Z65" i="29"/>
  <c r="Z66" i="29"/>
  <c r="Z64" i="29"/>
  <c r="Y78" i="29"/>
  <c r="Y79" i="29"/>
  <c r="Y81" i="29"/>
  <c r="Y80" i="29"/>
  <c r="AF81" i="29"/>
  <c r="AF79" i="29"/>
  <c r="AF80" i="29"/>
  <c r="AF78" i="29"/>
  <c r="AA125" i="29"/>
  <c r="AA124" i="29"/>
  <c r="AA123" i="29"/>
  <c r="AA126" i="29"/>
  <c r="K126" i="29"/>
  <c r="K124" i="29"/>
  <c r="K125" i="29"/>
  <c r="K123" i="29"/>
  <c r="T64" i="29"/>
  <c r="T67" i="29"/>
  <c r="T65" i="29"/>
  <c r="T66" i="29"/>
  <c r="AC65" i="29"/>
  <c r="AC66" i="29"/>
  <c r="AC67" i="29"/>
  <c r="AC64" i="29"/>
  <c r="AE126" i="29"/>
  <c r="AE125" i="29"/>
  <c r="AE123" i="29"/>
  <c r="AE124" i="29"/>
  <c r="Q109" i="29"/>
  <c r="Q112" i="29"/>
  <c r="Q111" i="29"/>
  <c r="Q110" i="29"/>
  <c r="W66" i="29"/>
  <c r="W67" i="29"/>
  <c r="W64" i="29"/>
  <c r="W65" i="29"/>
  <c r="Z78" i="29"/>
  <c r="Z80" i="29"/>
  <c r="Z79" i="29"/>
  <c r="Z81" i="29"/>
  <c r="AH78" i="29"/>
  <c r="AH80" i="29"/>
  <c r="AH81" i="29"/>
  <c r="AH79" i="29"/>
  <c r="AE81" i="29"/>
  <c r="AE78" i="29"/>
  <c r="AE80" i="29"/>
  <c r="AE79" i="29"/>
  <c r="T110" i="29"/>
  <c r="T111" i="29"/>
  <c r="T109" i="29"/>
  <c r="T112" i="29"/>
  <c r="AA110" i="29"/>
  <c r="AA112" i="29"/>
  <c r="AA111" i="29"/>
  <c r="AA109" i="29"/>
  <c r="K79" i="29"/>
  <c r="K80" i="29"/>
  <c r="K78" i="29"/>
  <c r="K81" i="29"/>
  <c r="AA79" i="29"/>
  <c r="AA80" i="29"/>
  <c r="AA81" i="29"/>
  <c r="AA78" i="29"/>
  <c r="AD65" i="29"/>
  <c r="AD66" i="29"/>
  <c r="AD67" i="29"/>
  <c r="AD64" i="29"/>
  <c r="AC80" i="29"/>
  <c r="AC81" i="29"/>
  <c r="AC79" i="29"/>
  <c r="AC78" i="29"/>
  <c r="E80" i="29"/>
  <c r="E81" i="29"/>
  <c r="E79" i="29"/>
  <c r="E78" i="29"/>
  <c r="AD111" i="29"/>
  <c r="AD112" i="29"/>
  <c r="AD109" i="29"/>
  <c r="AD110" i="29"/>
  <c r="Z109" i="29"/>
  <c r="Z110" i="29"/>
  <c r="Z112" i="29"/>
  <c r="Z111" i="29"/>
  <c r="F125" i="29"/>
  <c r="F124" i="29"/>
  <c r="F123" i="29"/>
  <c r="F126" i="29"/>
  <c r="X112" i="29"/>
  <c r="X110" i="29"/>
  <c r="X111" i="29"/>
  <c r="X109" i="29"/>
  <c r="Q78" i="29"/>
  <c r="Q79" i="29"/>
  <c r="Q81" i="29"/>
  <c r="Q80" i="29"/>
  <c r="Q67" i="29"/>
  <c r="Q65" i="29"/>
  <c r="Q66" i="29"/>
  <c r="Q64" i="29"/>
  <c r="AD80" i="29"/>
  <c r="AD79" i="29"/>
  <c r="AD81" i="29"/>
  <c r="AD78" i="29"/>
  <c r="A30" i="54" l="1"/>
  <c r="A31" i="54"/>
  <c r="A32" i="54"/>
  <c r="A33" i="54"/>
  <c r="A34" i="54"/>
  <c r="A35" i="54"/>
  <c r="A36" i="54"/>
  <c r="A37" i="54"/>
  <c r="A38" i="54"/>
  <c r="A39" i="54"/>
  <c r="A40" i="54"/>
  <c r="A41" i="54"/>
  <c r="A42" i="54"/>
  <c r="A43" i="54"/>
  <c r="A44" i="54"/>
  <c r="A45" i="54"/>
  <c r="A29" i="54"/>
  <c r="E101" i="26" l="1"/>
  <c r="E100" i="26"/>
  <c r="E98" i="26"/>
  <c r="E97" i="26"/>
  <c r="H83" i="51" l="1"/>
  <c r="H81" i="51"/>
  <c r="H80" i="51"/>
  <c r="H79" i="51"/>
  <c r="H78" i="51"/>
  <c r="C11" i="52" l="1"/>
  <c r="C238" i="14" l="1"/>
  <c r="B240" i="14"/>
  <c r="E99" i="26"/>
  <c r="E96" i="26"/>
  <c r="E95" i="26"/>
  <c r="D503" i="29" s="1"/>
  <c r="AJ503" i="29" l="1"/>
  <c r="D506" i="29"/>
  <c r="AI503" i="29"/>
  <c r="AK503" i="29"/>
  <c r="A27" i="54"/>
  <c r="A26" i="54"/>
  <c r="A25" i="54"/>
  <c r="A24" i="54"/>
  <c r="A23" i="54"/>
  <c r="A22" i="54"/>
  <c r="A21" i="54"/>
  <c r="A20" i="54"/>
  <c r="A19" i="54"/>
  <c r="A17" i="54"/>
  <c r="A16" i="54"/>
  <c r="A15" i="54"/>
  <c r="A14" i="54"/>
  <c r="A13" i="54"/>
  <c r="A12" i="54"/>
  <c r="A11" i="54"/>
  <c r="A10" i="54"/>
  <c r="A9" i="54"/>
  <c r="A8" i="54"/>
  <c r="A7" i="54"/>
  <c r="A6" i="54"/>
  <c r="A5" i="54"/>
  <c r="A4" i="54"/>
  <c r="Y188" i="52" l="1"/>
  <c r="F85" i="31"/>
  <c r="J68" i="26"/>
  <c r="H68" i="26"/>
  <c r="F68" i="26"/>
  <c r="F60" i="26"/>
  <c r="F15" i="26" l="1"/>
  <c r="D4" i="29" s="1"/>
  <c r="E4" i="29" s="1"/>
  <c r="F4" i="29" s="1"/>
  <c r="G4" i="29" s="1"/>
  <c r="H4" i="29" s="1"/>
  <c r="I4" i="29" s="1"/>
  <c r="J4" i="29" s="1"/>
  <c r="K4" i="29" s="1"/>
  <c r="L4" i="29" s="1"/>
  <c r="M4" i="29" s="1"/>
  <c r="N4" i="29" s="1"/>
  <c r="O4" i="29" s="1"/>
  <c r="P4" i="29" s="1"/>
  <c r="Q4" i="29" s="1"/>
  <c r="R4" i="29" s="1"/>
  <c r="S4" i="29" s="1"/>
  <c r="T4" i="29" s="1"/>
  <c r="U4" i="29" s="1"/>
  <c r="V4" i="29" s="1"/>
  <c r="W4" i="29" s="1"/>
  <c r="X4" i="29" s="1"/>
  <c r="Y4" i="29" s="1"/>
  <c r="Z4" i="29" s="1"/>
  <c r="AA4" i="29" s="1"/>
  <c r="AB4" i="29" s="1"/>
  <c r="AC4" i="29" s="1"/>
  <c r="AD4" i="29" s="1"/>
  <c r="AE4" i="29" s="1"/>
  <c r="AF4" i="29" s="1"/>
  <c r="AG4" i="29" s="1"/>
  <c r="AH4" i="29" s="1"/>
  <c r="G83" i="31" l="1"/>
  <c r="F83" i="31"/>
  <c r="G82" i="31"/>
  <c r="F82" i="31"/>
  <c r="G81" i="31"/>
  <c r="F81" i="31"/>
  <c r="G79" i="31"/>
  <c r="F79" i="31"/>
  <c r="G78" i="31"/>
  <c r="F78" i="31"/>
  <c r="G77" i="31"/>
  <c r="F77" i="31"/>
  <c r="G75" i="31"/>
  <c r="F75" i="31"/>
  <c r="D362" i="29" s="1"/>
  <c r="G74" i="31"/>
  <c r="F74" i="31"/>
  <c r="D348" i="29" s="1"/>
  <c r="G73" i="31"/>
  <c r="F73" i="31"/>
  <c r="D334" i="29" s="1"/>
  <c r="G71" i="31"/>
  <c r="F71" i="31"/>
  <c r="G70" i="31"/>
  <c r="F70" i="31"/>
  <c r="G69" i="31"/>
  <c r="B69" i="31"/>
  <c r="G63" i="31"/>
  <c r="F63" i="31"/>
  <c r="G62" i="31"/>
  <c r="F62" i="31"/>
  <c r="G61" i="31"/>
  <c r="F61" i="31"/>
  <c r="G59" i="31"/>
  <c r="F59" i="31"/>
  <c r="G58" i="31"/>
  <c r="F58" i="31"/>
  <c r="G57" i="31"/>
  <c r="F57" i="31"/>
  <c r="G55" i="31"/>
  <c r="F55" i="31"/>
  <c r="G54" i="31"/>
  <c r="F54" i="31"/>
  <c r="G53" i="31"/>
  <c r="F53" i="31"/>
  <c r="G51" i="31"/>
  <c r="F51" i="31"/>
  <c r="G50" i="31"/>
  <c r="F50" i="31"/>
  <c r="G49" i="31"/>
  <c r="F49" i="31"/>
  <c r="G47" i="31"/>
  <c r="F47" i="31"/>
  <c r="G46" i="31"/>
  <c r="F46" i="31"/>
  <c r="G45" i="31"/>
  <c r="G43" i="31"/>
  <c r="F43" i="31"/>
  <c r="G42" i="31"/>
  <c r="F42" i="31"/>
  <c r="G41" i="31"/>
  <c r="G35" i="31"/>
  <c r="F35" i="31"/>
  <c r="G34" i="31"/>
  <c r="F34" i="31"/>
  <c r="G33" i="31"/>
  <c r="F33" i="31"/>
  <c r="G31" i="31"/>
  <c r="F31" i="31"/>
  <c r="G30" i="31"/>
  <c r="F30" i="31"/>
  <c r="G29" i="31"/>
  <c r="F29" i="31"/>
  <c r="G27" i="31"/>
  <c r="F27" i="31"/>
  <c r="G26" i="31"/>
  <c r="F26" i="31"/>
  <c r="G25" i="31"/>
  <c r="F25" i="31"/>
  <c r="G23" i="31"/>
  <c r="F23" i="31"/>
  <c r="G22" i="31"/>
  <c r="F22" i="31"/>
  <c r="G21" i="31"/>
  <c r="F21" i="31"/>
  <c r="G19" i="31"/>
  <c r="F19" i="31"/>
  <c r="G18" i="31"/>
  <c r="F18" i="31"/>
  <c r="G17" i="31"/>
  <c r="G15" i="31"/>
  <c r="F15" i="31"/>
  <c r="G14" i="31"/>
  <c r="F14" i="31"/>
  <c r="G13" i="31"/>
  <c r="G95" i="31"/>
  <c r="F95" i="31"/>
  <c r="G94" i="31"/>
  <c r="F94" i="31"/>
  <c r="G93" i="31"/>
  <c r="G87" i="31"/>
  <c r="F87" i="31"/>
  <c r="G86" i="31"/>
  <c r="F86" i="31"/>
  <c r="G39" i="31"/>
  <c r="F39" i="31"/>
  <c r="G38" i="31"/>
  <c r="F38" i="31"/>
  <c r="G37" i="31"/>
  <c r="G9" i="31"/>
  <c r="G10" i="31"/>
  <c r="G11" i="31"/>
  <c r="F11" i="31"/>
  <c r="F10" i="31"/>
  <c r="E8" i="26"/>
  <c r="V3" i="54"/>
  <c r="U3" i="54"/>
  <c r="R3" i="54"/>
  <c r="Q3" i="54"/>
  <c r="P3" i="54"/>
  <c r="O3" i="54"/>
  <c r="N3" i="54"/>
  <c r="M3" i="54"/>
  <c r="U45" i="54" s="1"/>
  <c r="D366" i="29" l="1"/>
  <c r="D365" i="29"/>
  <c r="D364" i="29"/>
  <c r="D363" i="29"/>
  <c r="D337" i="29"/>
  <c r="D338" i="29"/>
  <c r="D336" i="29"/>
  <c r="D335" i="29"/>
  <c r="D351" i="29"/>
  <c r="D350" i="29"/>
  <c r="D349" i="29"/>
  <c r="D352" i="29"/>
  <c r="I10" i="54"/>
  <c r="I30" i="54"/>
  <c r="H23" i="54"/>
  <c r="H20" i="54"/>
  <c r="H41" i="54"/>
  <c r="H32" i="54"/>
  <c r="N73" i="31" s="1"/>
  <c r="H13" i="54"/>
  <c r="I32" i="54"/>
  <c r="H9" i="54"/>
  <c r="H14" i="54"/>
  <c r="H33" i="54"/>
  <c r="I9" i="54"/>
  <c r="H21" i="54"/>
  <c r="H29" i="54"/>
  <c r="N41" i="31" s="1"/>
  <c r="F56" i="31"/>
  <c r="H4" i="54"/>
  <c r="H15" i="54"/>
  <c r="H10" i="54"/>
  <c r="I15" i="54"/>
  <c r="H30" i="54"/>
  <c r="H36" i="54"/>
  <c r="H44" i="54"/>
  <c r="L43" i="54"/>
  <c r="K43" i="54"/>
  <c r="L14" i="54"/>
  <c r="K14" i="54"/>
  <c r="K16" i="54"/>
  <c r="L16" i="54"/>
  <c r="L33" i="54"/>
  <c r="K33" i="54"/>
  <c r="L40" i="54"/>
  <c r="K40" i="54"/>
  <c r="L27" i="54"/>
  <c r="K27" i="54"/>
  <c r="L6" i="54"/>
  <c r="K6" i="54"/>
  <c r="K21" i="54"/>
  <c r="L21" i="54"/>
  <c r="L24" i="54"/>
  <c r="K24" i="54"/>
  <c r="L29" i="54"/>
  <c r="K29" i="54"/>
  <c r="L31" i="54"/>
  <c r="K31" i="54"/>
  <c r="L44" i="54"/>
  <c r="K44" i="54"/>
  <c r="L11" i="54"/>
  <c r="K11" i="54"/>
  <c r="L17" i="54"/>
  <c r="K17" i="54"/>
  <c r="L37" i="54"/>
  <c r="K37" i="54"/>
  <c r="L41" i="54"/>
  <c r="K41" i="54"/>
  <c r="L9" i="54"/>
  <c r="K9" i="54"/>
  <c r="K12" i="54"/>
  <c r="L12" i="54"/>
  <c r="L15" i="54"/>
  <c r="K15" i="54"/>
  <c r="K25" i="54"/>
  <c r="L25" i="54"/>
  <c r="N25" i="54" s="1"/>
  <c r="L32" i="54"/>
  <c r="K32" i="54"/>
  <c r="K34" i="54"/>
  <c r="L34" i="54"/>
  <c r="L36" i="54"/>
  <c r="K36" i="54"/>
  <c r="L7" i="54"/>
  <c r="K7" i="54"/>
  <c r="L19" i="54"/>
  <c r="K19" i="54"/>
  <c r="L22" i="54"/>
  <c r="K22" i="54"/>
  <c r="K30" i="54"/>
  <c r="L30" i="54"/>
  <c r="K38" i="54"/>
  <c r="L38" i="54"/>
  <c r="L45" i="54"/>
  <c r="K45" i="54"/>
  <c r="L5" i="54"/>
  <c r="K5" i="54"/>
  <c r="L10" i="54"/>
  <c r="K10" i="54"/>
  <c r="L13" i="54"/>
  <c r="K13" i="54"/>
  <c r="L26" i="54"/>
  <c r="K26" i="54"/>
  <c r="L35" i="54"/>
  <c r="K35" i="54"/>
  <c r="K42" i="54"/>
  <c r="L42" i="54"/>
  <c r="O67" i="31"/>
  <c r="O66" i="31"/>
  <c r="O65" i="31"/>
  <c r="N67" i="31"/>
  <c r="N66" i="31"/>
  <c r="N65" i="31"/>
  <c r="M67" i="31"/>
  <c r="M66" i="31"/>
  <c r="M65" i="31"/>
  <c r="K4" i="54"/>
  <c r="L67" i="31"/>
  <c r="L66" i="31"/>
  <c r="L65" i="31"/>
  <c r="K67" i="31"/>
  <c r="K66" i="31"/>
  <c r="K65" i="31"/>
  <c r="H65" i="31"/>
  <c r="J67" i="31"/>
  <c r="J66" i="31"/>
  <c r="J65" i="31"/>
  <c r="H66" i="31"/>
  <c r="I67" i="31"/>
  <c r="I66" i="31"/>
  <c r="I65" i="31"/>
  <c r="L4" i="54"/>
  <c r="N4" i="54" s="1"/>
  <c r="H67" i="31"/>
  <c r="K8" i="54"/>
  <c r="L8" i="54"/>
  <c r="L20" i="54"/>
  <c r="K20" i="54"/>
  <c r="L23" i="54"/>
  <c r="K23" i="54"/>
  <c r="L39" i="54"/>
  <c r="N39" i="54" s="1"/>
  <c r="K39" i="54"/>
  <c r="O31" i="31"/>
  <c r="N31" i="31"/>
  <c r="M31" i="31"/>
  <c r="L31" i="31"/>
  <c r="K31" i="31"/>
  <c r="J31" i="31"/>
  <c r="I31" i="31"/>
  <c r="H31" i="31"/>
  <c r="O39" i="31"/>
  <c r="D180" i="29" s="1"/>
  <c r="N39" i="31"/>
  <c r="D179" i="29" s="1"/>
  <c r="M39" i="31"/>
  <c r="D178" i="29" s="1"/>
  <c r="L39" i="31"/>
  <c r="D177" i="29" s="1"/>
  <c r="K39" i="31"/>
  <c r="D176" i="29" s="1"/>
  <c r="J39" i="31"/>
  <c r="D175" i="29" s="1"/>
  <c r="I39" i="31"/>
  <c r="D174" i="29" s="1"/>
  <c r="H39" i="31"/>
  <c r="D173" i="29" s="1"/>
  <c r="O15" i="31"/>
  <c r="M15" i="31"/>
  <c r="J15" i="31"/>
  <c r="L15" i="31"/>
  <c r="K15" i="31"/>
  <c r="I15" i="31"/>
  <c r="N15" i="31"/>
  <c r="H15" i="31"/>
  <c r="F36" i="31"/>
  <c r="O42" i="31"/>
  <c r="D211" i="29" s="1"/>
  <c r="N42" i="31"/>
  <c r="D210" i="29" s="1"/>
  <c r="M42" i="31"/>
  <c r="D209" i="29" s="1"/>
  <c r="J42" i="31"/>
  <c r="D206" i="29" s="1"/>
  <c r="L42" i="31"/>
  <c r="D208" i="29" s="1"/>
  <c r="K42" i="31"/>
  <c r="D207" i="29" s="1"/>
  <c r="I42" i="31"/>
  <c r="D205" i="29" s="1"/>
  <c r="H42" i="31"/>
  <c r="D204" i="29" s="1"/>
  <c r="F52" i="31"/>
  <c r="F60" i="31"/>
  <c r="F76" i="31"/>
  <c r="O11" i="31"/>
  <c r="M11" i="31"/>
  <c r="J11" i="31"/>
  <c r="L11" i="31"/>
  <c r="K11" i="31"/>
  <c r="I11" i="31"/>
  <c r="N11" i="31"/>
  <c r="H11" i="31"/>
  <c r="O17" i="31"/>
  <c r="M17" i="31"/>
  <c r="L17" i="31"/>
  <c r="J17" i="31"/>
  <c r="K17" i="31"/>
  <c r="I17" i="31"/>
  <c r="N17" i="31"/>
  <c r="H17" i="31"/>
  <c r="O22" i="31"/>
  <c r="M22" i="31"/>
  <c r="L22" i="31"/>
  <c r="K22" i="31"/>
  <c r="J22" i="31"/>
  <c r="I22" i="31"/>
  <c r="N22" i="31"/>
  <c r="H22" i="31"/>
  <c r="O27" i="31"/>
  <c r="N27" i="31"/>
  <c r="M27" i="31"/>
  <c r="L27" i="31"/>
  <c r="K27" i="31"/>
  <c r="J27" i="31"/>
  <c r="I27" i="31"/>
  <c r="H27" i="31"/>
  <c r="O33" i="31"/>
  <c r="N33" i="31"/>
  <c r="M33" i="31"/>
  <c r="J33" i="31"/>
  <c r="L33" i="31"/>
  <c r="K33" i="31"/>
  <c r="I33" i="31"/>
  <c r="H33" i="31"/>
  <c r="O49" i="31"/>
  <c r="N49" i="31"/>
  <c r="M49" i="31"/>
  <c r="L49" i="31"/>
  <c r="J49" i="31"/>
  <c r="K49" i="31"/>
  <c r="I49" i="31"/>
  <c r="H49" i="31"/>
  <c r="O54" i="31"/>
  <c r="N54" i="31"/>
  <c r="M54" i="31"/>
  <c r="L54" i="31"/>
  <c r="K54" i="31"/>
  <c r="J54" i="31"/>
  <c r="I54" i="31"/>
  <c r="H54" i="31"/>
  <c r="O59" i="31"/>
  <c r="N59" i="31"/>
  <c r="M59" i="31"/>
  <c r="L59" i="31"/>
  <c r="J59" i="31"/>
  <c r="K59" i="31"/>
  <c r="I59" i="31"/>
  <c r="H59" i="31"/>
  <c r="O79" i="31"/>
  <c r="N79" i="31"/>
  <c r="M79" i="31"/>
  <c r="L79" i="31"/>
  <c r="K79" i="31"/>
  <c r="J79" i="31"/>
  <c r="I79" i="31"/>
  <c r="H79" i="31"/>
  <c r="O14" i="31"/>
  <c r="M14" i="31"/>
  <c r="L14" i="31"/>
  <c r="K14" i="31"/>
  <c r="J14" i="31"/>
  <c r="I14" i="31"/>
  <c r="N14" i="31"/>
  <c r="H14" i="31"/>
  <c r="O87" i="31"/>
  <c r="N87" i="31"/>
  <c r="M87" i="31"/>
  <c r="L87" i="31"/>
  <c r="K87" i="31"/>
  <c r="J87" i="31"/>
  <c r="I87" i="31"/>
  <c r="H87" i="31"/>
  <c r="O63" i="31"/>
  <c r="N63" i="31"/>
  <c r="M63" i="31"/>
  <c r="L63" i="31"/>
  <c r="J63" i="31"/>
  <c r="K63" i="31"/>
  <c r="I63" i="31"/>
  <c r="H63" i="31"/>
  <c r="O43" i="31"/>
  <c r="D225" i="29" s="1"/>
  <c r="N43" i="31"/>
  <c r="D224" i="29" s="1"/>
  <c r="M43" i="31"/>
  <c r="D223" i="29" s="1"/>
  <c r="L43" i="31"/>
  <c r="D222" i="29" s="1"/>
  <c r="K43" i="31"/>
  <c r="D221" i="29" s="1"/>
  <c r="J43" i="31"/>
  <c r="D220" i="29" s="1"/>
  <c r="I43" i="31"/>
  <c r="D219" i="29" s="1"/>
  <c r="H43" i="31"/>
  <c r="D218" i="29" s="1"/>
  <c r="F84" i="31"/>
  <c r="O23" i="31"/>
  <c r="M23" i="31"/>
  <c r="J23" i="31"/>
  <c r="L23" i="31"/>
  <c r="K23" i="31"/>
  <c r="I23" i="31"/>
  <c r="N23" i="31"/>
  <c r="H23" i="31"/>
  <c r="O34" i="31"/>
  <c r="N34" i="31"/>
  <c r="M34" i="31"/>
  <c r="L34" i="31"/>
  <c r="J34" i="31"/>
  <c r="K34" i="31"/>
  <c r="I34" i="31"/>
  <c r="H34" i="31"/>
  <c r="O50" i="31"/>
  <c r="N50" i="31"/>
  <c r="M50" i="31"/>
  <c r="J50" i="31"/>
  <c r="L50" i="31"/>
  <c r="K50" i="31"/>
  <c r="I50" i="31"/>
  <c r="H50" i="31"/>
  <c r="O55" i="31"/>
  <c r="N55" i="31"/>
  <c r="M55" i="31"/>
  <c r="J55" i="31"/>
  <c r="L55" i="31"/>
  <c r="K55" i="31"/>
  <c r="I55" i="31"/>
  <c r="H55" i="31"/>
  <c r="O61" i="31"/>
  <c r="N61" i="31"/>
  <c r="M61" i="31"/>
  <c r="L61" i="31"/>
  <c r="K61" i="31"/>
  <c r="J61" i="31"/>
  <c r="I61" i="31"/>
  <c r="H61" i="31"/>
  <c r="O70" i="31"/>
  <c r="D315" i="29" s="1"/>
  <c r="N70" i="31"/>
  <c r="D314" i="29" s="1"/>
  <c r="M70" i="31"/>
  <c r="D313" i="29" s="1"/>
  <c r="L70" i="31"/>
  <c r="D312" i="29" s="1"/>
  <c r="K70" i="31"/>
  <c r="D311" i="29" s="1"/>
  <c r="J70" i="31"/>
  <c r="D310" i="29" s="1"/>
  <c r="I70" i="31"/>
  <c r="D309" i="29" s="1"/>
  <c r="H70" i="31"/>
  <c r="D308" i="29" s="1"/>
  <c r="O81" i="31"/>
  <c r="N81" i="31"/>
  <c r="M81" i="31"/>
  <c r="L81" i="31"/>
  <c r="K81" i="31"/>
  <c r="J81" i="31"/>
  <c r="I81" i="31"/>
  <c r="H81" i="31"/>
  <c r="O86" i="31"/>
  <c r="N86" i="31"/>
  <c r="M86" i="31"/>
  <c r="L86" i="31"/>
  <c r="K86" i="31"/>
  <c r="J86" i="31"/>
  <c r="I86" i="31"/>
  <c r="H86" i="31"/>
  <c r="N13" i="31"/>
  <c r="O26" i="31"/>
  <c r="M26" i="31"/>
  <c r="L26" i="31"/>
  <c r="J26" i="31"/>
  <c r="K26" i="31"/>
  <c r="I26" i="31"/>
  <c r="N26" i="31"/>
  <c r="H26" i="31"/>
  <c r="O53" i="31"/>
  <c r="N53" i="31"/>
  <c r="M53" i="31"/>
  <c r="L53" i="31"/>
  <c r="J53" i="31"/>
  <c r="K53" i="31"/>
  <c r="I53" i="31"/>
  <c r="H53" i="31"/>
  <c r="O10" i="31"/>
  <c r="M10" i="31"/>
  <c r="L10" i="31"/>
  <c r="K10" i="31"/>
  <c r="J10" i="31"/>
  <c r="I10" i="31"/>
  <c r="H10" i="31"/>
  <c r="N10" i="31"/>
  <c r="F64" i="31"/>
  <c r="O18" i="31"/>
  <c r="M18" i="31"/>
  <c r="L18" i="31"/>
  <c r="K18" i="31"/>
  <c r="J18" i="31"/>
  <c r="I18" i="31"/>
  <c r="N18" i="31"/>
  <c r="H18" i="31"/>
  <c r="O29" i="31"/>
  <c r="N29" i="31"/>
  <c r="M29" i="31"/>
  <c r="J29" i="31"/>
  <c r="L29" i="31"/>
  <c r="K29" i="31"/>
  <c r="I29" i="31"/>
  <c r="H29" i="31"/>
  <c r="O19" i="31"/>
  <c r="M19" i="31"/>
  <c r="J19" i="31"/>
  <c r="L19" i="31"/>
  <c r="K19" i="31"/>
  <c r="I19" i="31"/>
  <c r="H19" i="31"/>
  <c r="N19" i="31"/>
  <c r="O25" i="31"/>
  <c r="M25" i="31"/>
  <c r="L25" i="31"/>
  <c r="K25" i="31"/>
  <c r="J25" i="31"/>
  <c r="I25" i="31"/>
  <c r="N25" i="31"/>
  <c r="H25" i="31"/>
  <c r="O30" i="31"/>
  <c r="N30" i="31"/>
  <c r="M30" i="31"/>
  <c r="L30" i="31"/>
  <c r="J30" i="31"/>
  <c r="K30" i="31"/>
  <c r="I30" i="31"/>
  <c r="H30" i="31"/>
  <c r="O35" i="31"/>
  <c r="N35" i="31"/>
  <c r="M35" i="31"/>
  <c r="L35" i="31"/>
  <c r="K35" i="31"/>
  <c r="J35" i="31"/>
  <c r="I35" i="31"/>
  <c r="H35" i="31"/>
  <c r="O51" i="31"/>
  <c r="N51" i="31"/>
  <c r="M51" i="31"/>
  <c r="L51" i="31"/>
  <c r="K51" i="31"/>
  <c r="J51" i="31"/>
  <c r="I51" i="31"/>
  <c r="H51" i="31"/>
  <c r="O57" i="31"/>
  <c r="N57" i="31"/>
  <c r="M57" i="31"/>
  <c r="L57" i="31"/>
  <c r="J57" i="31"/>
  <c r="K57" i="31"/>
  <c r="I57" i="31"/>
  <c r="H57" i="31"/>
  <c r="O62" i="31"/>
  <c r="N62" i="31"/>
  <c r="M62" i="31"/>
  <c r="J62" i="31"/>
  <c r="L62" i="31"/>
  <c r="K62" i="31"/>
  <c r="I62" i="31"/>
  <c r="H62" i="31"/>
  <c r="O71" i="31"/>
  <c r="D329" i="29" s="1"/>
  <c r="N71" i="31"/>
  <c r="D328" i="29" s="1"/>
  <c r="M71" i="31"/>
  <c r="D327" i="29" s="1"/>
  <c r="L71" i="31"/>
  <c r="D326" i="29" s="1"/>
  <c r="K71" i="31"/>
  <c r="D325" i="29" s="1"/>
  <c r="J71" i="31"/>
  <c r="D324" i="29" s="1"/>
  <c r="I71" i="31"/>
  <c r="D323" i="29" s="1"/>
  <c r="H71" i="31"/>
  <c r="D322" i="29" s="1"/>
  <c r="O77" i="31"/>
  <c r="N77" i="31"/>
  <c r="M77" i="31"/>
  <c r="L77" i="31"/>
  <c r="K77" i="31"/>
  <c r="J77" i="31"/>
  <c r="I77" i="31"/>
  <c r="H77" i="31"/>
  <c r="O82" i="31"/>
  <c r="N82" i="31"/>
  <c r="M82" i="31"/>
  <c r="L82" i="31"/>
  <c r="K82" i="31"/>
  <c r="J82" i="31"/>
  <c r="I82" i="31"/>
  <c r="H82" i="31"/>
  <c r="O38" i="31"/>
  <c r="N38" i="31"/>
  <c r="M38" i="31"/>
  <c r="J38" i="31"/>
  <c r="L38" i="31"/>
  <c r="K38" i="31"/>
  <c r="I38" i="31"/>
  <c r="H38" i="31"/>
  <c r="O21" i="31"/>
  <c r="M21" i="31"/>
  <c r="L21" i="31"/>
  <c r="J21" i="31"/>
  <c r="K21" i="31"/>
  <c r="I21" i="31"/>
  <c r="H21" i="31"/>
  <c r="N21" i="31"/>
  <c r="O47" i="31"/>
  <c r="D270" i="29" s="1"/>
  <c r="N47" i="31"/>
  <c r="D269" i="29" s="1"/>
  <c r="M47" i="31"/>
  <c r="D268" i="29" s="1"/>
  <c r="L47" i="31"/>
  <c r="D267" i="29" s="1"/>
  <c r="K47" i="31"/>
  <c r="D266" i="29" s="1"/>
  <c r="J47" i="31"/>
  <c r="D265" i="29" s="1"/>
  <c r="I47" i="31"/>
  <c r="D264" i="29" s="1"/>
  <c r="H47" i="31"/>
  <c r="D263" i="29" s="1"/>
  <c r="O58" i="31"/>
  <c r="N58" i="31"/>
  <c r="M58" i="31"/>
  <c r="L58" i="31"/>
  <c r="K58" i="31"/>
  <c r="J58" i="31"/>
  <c r="I58" i="31"/>
  <c r="H58" i="31"/>
  <c r="O78" i="31"/>
  <c r="N78" i="31"/>
  <c r="M78" i="31"/>
  <c r="L78" i="31"/>
  <c r="K78" i="31"/>
  <c r="J78" i="31"/>
  <c r="I78" i="31"/>
  <c r="H78" i="31"/>
  <c r="O83" i="31"/>
  <c r="N83" i="31"/>
  <c r="M83" i="31"/>
  <c r="L83" i="31"/>
  <c r="K83" i="31"/>
  <c r="J83" i="31"/>
  <c r="I83" i="31"/>
  <c r="H83" i="31"/>
  <c r="F28" i="31"/>
  <c r="F32" i="31"/>
  <c r="F80" i="31"/>
  <c r="F24" i="31"/>
  <c r="H39" i="54"/>
  <c r="N12" i="54"/>
  <c r="N37" i="54"/>
  <c r="N30" i="54"/>
  <c r="N7" i="54"/>
  <c r="I45" i="54"/>
  <c r="F45" i="54"/>
  <c r="N34" i="54"/>
  <c r="N44" i="54"/>
  <c r="N31" i="54"/>
  <c r="V5" i="54"/>
  <c r="V45" i="54"/>
  <c r="V44" i="54"/>
  <c r="V43" i="54"/>
  <c r="V42" i="54"/>
  <c r="V41" i="54"/>
  <c r="V40" i="54"/>
  <c r="V39" i="54"/>
  <c r="V38" i="54"/>
  <c r="V37" i="54"/>
  <c r="V36" i="54"/>
  <c r="V35" i="54"/>
  <c r="V34" i="54"/>
  <c r="V33" i="54"/>
  <c r="V32" i="54"/>
  <c r="G32" i="54" s="1"/>
  <c r="V31" i="54"/>
  <c r="V30" i="54"/>
  <c r="G30" i="54" s="1"/>
  <c r="V29" i="54"/>
  <c r="V27" i="54"/>
  <c r="V26" i="54"/>
  <c r="V25" i="54"/>
  <c r="V24" i="54"/>
  <c r="V23" i="54"/>
  <c r="V22" i="54"/>
  <c r="V21" i="54"/>
  <c r="V20" i="54"/>
  <c r="V19" i="54"/>
  <c r="V17" i="54"/>
  <c r="V16" i="54"/>
  <c r="V15" i="54"/>
  <c r="G15" i="54" s="1"/>
  <c r="V14" i="54"/>
  <c r="V13" i="54"/>
  <c r="V12" i="54"/>
  <c r="V11" i="54"/>
  <c r="V10" i="54"/>
  <c r="G10" i="54" s="1"/>
  <c r="V9" i="54"/>
  <c r="G9" i="54" s="1"/>
  <c r="V8" i="54"/>
  <c r="V7" i="54"/>
  <c r="V6" i="54"/>
  <c r="V4" i="54"/>
  <c r="N42" i="54"/>
  <c r="N10" i="54"/>
  <c r="N23" i="54"/>
  <c r="N36" i="54"/>
  <c r="N13" i="54"/>
  <c r="N33" i="54"/>
  <c r="N41" i="54"/>
  <c r="N6" i="54"/>
  <c r="N16" i="54"/>
  <c r="N15" i="54"/>
  <c r="U4" i="54"/>
  <c r="U5" i="54"/>
  <c r="U6" i="54"/>
  <c r="U7" i="54"/>
  <c r="U8" i="54"/>
  <c r="U9" i="54"/>
  <c r="F9" i="54" s="1"/>
  <c r="U10" i="54"/>
  <c r="F10" i="54" s="1"/>
  <c r="U11" i="54"/>
  <c r="U12" i="54"/>
  <c r="U13" i="54"/>
  <c r="U14" i="54"/>
  <c r="U15" i="54"/>
  <c r="F15" i="54" s="1"/>
  <c r="U16" i="54"/>
  <c r="U17" i="54"/>
  <c r="U19" i="54"/>
  <c r="U20" i="54"/>
  <c r="U21" i="54"/>
  <c r="U22" i="54"/>
  <c r="U23" i="54"/>
  <c r="U24" i="54"/>
  <c r="U25" i="54"/>
  <c r="U26" i="54"/>
  <c r="U27" i="54"/>
  <c r="U29" i="54"/>
  <c r="U30" i="54"/>
  <c r="F30" i="54" s="1"/>
  <c r="U31" i="54"/>
  <c r="U32" i="54"/>
  <c r="F32" i="54" s="1"/>
  <c r="U33" i="54"/>
  <c r="U34" i="54"/>
  <c r="U35" i="54"/>
  <c r="U36" i="54"/>
  <c r="U37" i="54"/>
  <c r="U38" i="54"/>
  <c r="U39" i="54"/>
  <c r="U40" i="54"/>
  <c r="U41" i="54"/>
  <c r="U42" i="54"/>
  <c r="U43" i="54"/>
  <c r="U44" i="54"/>
  <c r="P71" i="29" l="1"/>
  <c r="H71" i="29"/>
  <c r="AG71" i="29"/>
  <c r="AH71" i="29"/>
  <c r="X71" i="29"/>
  <c r="AA71" i="29"/>
  <c r="I71" i="29"/>
  <c r="O71" i="29"/>
  <c r="AE71" i="29"/>
  <c r="E71" i="29"/>
  <c r="V71" i="29"/>
  <c r="G71" i="29"/>
  <c r="T71" i="29"/>
  <c r="N71" i="29"/>
  <c r="U71" i="29"/>
  <c r="AB71" i="29"/>
  <c r="J71" i="29"/>
  <c r="R71" i="29"/>
  <c r="K71" i="29"/>
  <c r="L71" i="29"/>
  <c r="Q71" i="29"/>
  <c r="Z71" i="29"/>
  <c r="Y71" i="29"/>
  <c r="F71" i="29"/>
  <c r="AF71" i="29"/>
  <c r="AC71" i="29"/>
  <c r="M71" i="29"/>
  <c r="S71" i="29"/>
  <c r="W71" i="29"/>
  <c r="AD71" i="29"/>
  <c r="N114" i="29"/>
  <c r="AH114" i="29"/>
  <c r="F114" i="29"/>
  <c r="U114" i="29"/>
  <c r="G114" i="29"/>
  <c r="E114" i="29"/>
  <c r="W114" i="29"/>
  <c r="S114" i="29"/>
  <c r="Y114" i="29"/>
  <c r="AF114" i="29"/>
  <c r="I114" i="29"/>
  <c r="L114" i="29"/>
  <c r="Z114" i="29"/>
  <c r="AG114" i="29"/>
  <c r="P114" i="29"/>
  <c r="AA114" i="29"/>
  <c r="J114" i="29"/>
  <c r="Q114" i="29"/>
  <c r="T114" i="29"/>
  <c r="AB114" i="29"/>
  <c r="X114" i="29"/>
  <c r="O114" i="29"/>
  <c r="R114" i="29"/>
  <c r="V114" i="29"/>
  <c r="K114" i="29"/>
  <c r="AC114" i="29"/>
  <c r="M114" i="29"/>
  <c r="AD114" i="29"/>
  <c r="AE114" i="29"/>
  <c r="H114" i="29"/>
  <c r="G83" i="29"/>
  <c r="T83" i="29"/>
  <c r="W83" i="29"/>
  <c r="AB83" i="29"/>
  <c r="V83" i="29"/>
  <c r="H83" i="29"/>
  <c r="X83" i="29"/>
  <c r="L83" i="29"/>
  <c r="J83" i="29"/>
  <c r="U83" i="29"/>
  <c r="Z83" i="29"/>
  <c r="Q83" i="29"/>
  <c r="F83" i="29"/>
  <c r="K83" i="29"/>
  <c r="Y83" i="29"/>
  <c r="AE83" i="29"/>
  <c r="AD83" i="29"/>
  <c r="AH83" i="29"/>
  <c r="AG83" i="29"/>
  <c r="O83" i="29"/>
  <c r="N83" i="29"/>
  <c r="I83" i="29"/>
  <c r="P83" i="29"/>
  <c r="S83" i="29"/>
  <c r="M83" i="29"/>
  <c r="AF83" i="29"/>
  <c r="AC83" i="29"/>
  <c r="AA83" i="29"/>
  <c r="R83" i="29"/>
  <c r="E83" i="29"/>
  <c r="V132" i="29"/>
  <c r="O132" i="29"/>
  <c r="T132" i="29"/>
  <c r="W132" i="29"/>
  <c r="N132" i="29"/>
  <c r="S132" i="29"/>
  <c r="AB132" i="29"/>
  <c r="H132" i="29"/>
  <c r="M132" i="29"/>
  <c r="X132" i="29"/>
  <c r="Y132" i="29"/>
  <c r="AH132" i="29"/>
  <c r="AG132" i="29"/>
  <c r="AD132" i="29"/>
  <c r="AC132" i="29"/>
  <c r="AA132" i="29"/>
  <c r="AE132" i="29"/>
  <c r="U132" i="29"/>
  <c r="E132" i="29"/>
  <c r="L132" i="29"/>
  <c r="R132" i="29"/>
  <c r="J132" i="29"/>
  <c r="Z132" i="29"/>
  <c r="I132" i="29"/>
  <c r="G132" i="29"/>
  <c r="P132" i="29"/>
  <c r="K132" i="29"/>
  <c r="AF132" i="29"/>
  <c r="F132" i="29"/>
  <c r="Q132" i="29"/>
  <c r="O72" i="29"/>
  <c r="P72" i="29"/>
  <c r="I72" i="29"/>
  <c r="AA72" i="29"/>
  <c r="X72" i="29"/>
  <c r="AG72" i="29"/>
  <c r="H72" i="29"/>
  <c r="AH72" i="29"/>
  <c r="J72" i="29"/>
  <c r="G72" i="29"/>
  <c r="R72" i="29"/>
  <c r="AB72" i="29"/>
  <c r="L72" i="29"/>
  <c r="S72" i="29"/>
  <c r="V72" i="29"/>
  <c r="M72" i="29"/>
  <c r="Y72" i="29"/>
  <c r="Q72" i="29"/>
  <c r="T72" i="29"/>
  <c r="N72" i="29"/>
  <c r="AF72" i="29"/>
  <c r="K72" i="29"/>
  <c r="W72" i="29"/>
  <c r="U72" i="29"/>
  <c r="AC72" i="29"/>
  <c r="E72" i="29"/>
  <c r="Z72" i="29"/>
  <c r="F72" i="29"/>
  <c r="AD72" i="29"/>
  <c r="AE72" i="29"/>
  <c r="E115" i="29"/>
  <c r="G115" i="29"/>
  <c r="W115" i="29"/>
  <c r="N115" i="29"/>
  <c r="AH115" i="29"/>
  <c r="F115" i="29"/>
  <c r="AG115" i="29"/>
  <c r="K115" i="29"/>
  <c r="S115" i="29"/>
  <c r="I115" i="29"/>
  <c r="AB115" i="29"/>
  <c r="U115" i="29"/>
  <c r="P115" i="29"/>
  <c r="O115" i="29"/>
  <c r="M115" i="29"/>
  <c r="L115" i="29"/>
  <c r="X115" i="29"/>
  <c r="J115" i="29"/>
  <c r="V115" i="29"/>
  <c r="Q115" i="29"/>
  <c r="AC115" i="29"/>
  <c r="H115" i="29"/>
  <c r="Y115" i="29"/>
  <c r="R115" i="29"/>
  <c r="T115" i="29"/>
  <c r="AA115" i="29"/>
  <c r="AD115" i="29"/>
  <c r="AF115" i="29"/>
  <c r="Z115" i="29"/>
  <c r="AE115" i="29"/>
  <c r="W85" i="29"/>
  <c r="T85" i="29"/>
  <c r="G85" i="29"/>
  <c r="AG85" i="29"/>
  <c r="S85" i="29"/>
  <c r="U85" i="29"/>
  <c r="R85" i="29"/>
  <c r="N85" i="29"/>
  <c r="J85" i="29"/>
  <c r="I85" i="29"/>
  <c r="P85" i="29"/>
  <c r="V85" i="29"/>
  <c r="AA85" i="29"/>
  <c r="E85" i="29"/>
  <c r="AC85" i="29"/>
  <c r="AD85" i="29"/>
  <c r="M85" i="29"/>
  <c r="AF85" i="29"/>
  <c r="AE85" i="29"/>
  <c r="X85" i="29"/>
  <c r="O85" i="29"/>
  <c r="L85" i="29"/>
  <c r="H85" i="29"/>
  <c r="AB85" i="29"/>
  <c r="Z85" i="29"/>
  <c r="AH85" i="29"/>
  <c r="F85" i="29"/>
  <c r="Y85" i="29"/>
  <c r="K85" i="29"/>
  <c r="Q85" i="29"/>
  <c r="V134" i="29"/>
  <c r="O134" i="29"/>
  <c r="AG134" i="29"/>
  <c r="AD134" i="29"/>
  <c r="AC134" i="29"/>
  <c r="S134" i="29"/>
  <c r="H134" i="29"/>
  <c r="I134" i="29"/>
  <c r="E134" i="29"/>
  <c r="AB134" i="29"/>
  <c r="P134" i="29"/>
  <c r="T134" i="29"/>
  <c r="Z134" i="29"/>
  <c r="Q134" i="29"/>
  <c r="X134" i="29"/>
  <c r="U134" i="29"/>
  <c r="F134" i="29"/>
  <c r="AF134" i="29"/>
  <c r="AA134" i="29"/>
  <c r="AE134" i="29"/>
  <c r="L134" i="29"/>
  <c r="R134" i="29"/>
  <c r="G134" i="29"/>
  <c r="M134" i="29"/>
  <c r="J134" i="29"/>
  <c r="W134" i="29"/>
  <c r="N134" i="29"/>
  <c r="K134" i="29"/>
  <c r="AH134" i="29"/>
  <c r="Y134" i="29"/>
  <c r="P73" i="29"/>
  <c r="I73" i="29"/>
  <c r="AH73" i="29"/>
  <c r="H73" i="29"/>
  <c r="AA73" i="29"/>
  <c r="AG73" i="29"/>
  <c r="X73" i="29"/>
  <c r="L73" i="29"/>
  <c r="R73" i="29"/>
  <c r="AF73" i="29"/>
  <c r="K73" i="29"/>
  <c r="O73" i="29"/>
  <c r="F73" i="29"/>
  <c r="N73" i="29"/>
  <c r="U73" i="29"/>
  <c r="E73" i="29"/>
  <c r="V73" i="29"/>
  <c r="Y73" i="29"/>
  <c r="J73" i="29"/>
  <c r="AD73" i="29"/>
  <c r="M73" i="29"/>
  <c r="AC73" i="29"/>
  <c r="G73" i="29"/>
  <c r="Z73" i="29"/>
  <c r="T73" i="29"/>
  <c r="AE73" i="29"/>
  <c r="Q73" i="29"/>
  <c r="S73" i="29"/>
  <c r="W73" i="29"/>
  <c r="AB73" i="29"/>
  <c r="AH116" i="29"/>
  <c r="F116" i="29"/>
  <c r="G116" i="29"/>
  <c r="W116" i="29"/>
  <c r="E116" i="29"/>
  <c r="N116" i="29"/>
  <c r="S116" i="29"/>
  <c r="Y116" i="29"/>
  <c r="AE116" i="29"/>
  <c r="AG116" i="29"/>
  <c r="AC116" i="29"/>
  <c r="AB116" i="29"/>
  <c r="V116" i="29"/>
  <c r="H116" i="29"/>
  <c r="I116" i="29"/>
  <c r="AF116" i="29"/>
  <c r="AA116" i="29"/>
  <c r="Z116" i="29"/>
  <c r="M116" i="29"/>
  <c r="P116" i="29"/>
  <c r="T116" i="29"/>
  <c r="AD116" i="29"/>
  <c r="X116" i="29"/>
  <c r="L116" i="29"/>
  <c r="Q116" i="29"/>
  <c r="J116" i="29"/>
  <c r="U116" i="29"/>
  <c r="K116" i="29"/>
  <c r="O116" i="29"/>
  <c r="R116" i="29"/>
  <c r="W86" i="29"/>
  <c r="G86" i="29"/>
  <c r="T86" i="29"/>
  <c r="R86" i="29"/>
  <c r="L86" i="29"/>
  <c r="M86" i="29"/>
  <c r="F86" i="29"/>
  <c r="S86" i="29"/>
  <c r="P86" i="29"/>
  <c r="U86" i="29"/>
  <c r="AG86" i="29"/>
  <c r="H86" i="29"/>
  <c r="Y86" i="29"/>
  <c r="AE86" i="29"/>
  <c r="AH86" i="29"/>
  <c r="I86" i="29"/>
  <c r="E86" i="29"/>
  <c r="AF86" i="29"/>
  <c r="AC86" i="29"/>
  <c r="AA86" i="29"/>
  <c r="Z86" i="29"/>
  <c r="J86" i="29"/>
  <c r="O86" i="29"/>
  <c r="V86" i="29"/>
  <c r="X86" i="29"/>
  <c r="AB86" i="29"/>
  <c r="Q86" i="29"/>
  <c r="N86" i="29"/>
  <c r="K86" i="29"/>
  <c r="AD86" i="29"/>
  <c r="V127" i="29"/>
  <c r="G127" i="29"/>
  <c r="AE127" i="29"/>
  <c r="L127" i="29"/>
  <c r="T127" i="29"/>
  <c r="AG127" i="29"/>
  <c r="Y127" i="29"/>
  <c r="U127" i="29"/>
  <c r="S127" i="29"/>
  <c r="Z127" i="29"/>
  <c r="I127" i="29"/>
  <c r="X127" i="29"/>
  <c r="J127" i="29"/>
  <c r="W127" i="29"/>
  <c r="AA127" i="29"/>
  <c r="F127" i="29"/>
  <c r="AH127" i="29"/>
  <c r="M127" i="29"/>
  <c r="Q127" i="29"/>
  <c r="N127" i="29"/>
  <c r="K127" i="29"/>
  <c r="E127" i="29"/>
  <c r="O127" i="29"/>
  <c r="R127" i="29"/>
  <c r="P127" i="29"/>
  <c r="H127" i="29"/>
  <c r="AC127" i="29"/>
  <c r="AB127" i="29"/>
  <c r="AF127" i="29"/>
  <c r="AD127" i="29"/>
  <c r="D345" i="29"/>
  <c r="W117" i="29"/>
  <c r="N117" i="29"/>
  <c r="E117" i="29"/>
  <c r="F117" i="29"/>
  <c r="AH117" i="29"/>
  <c r="G117" i="29"/>
  <c r="O117" i="29"/>
  <c r="M117" i="29"/>
  <c r="AG117" i="29"/>
  <c r="I117" i="29"/>
  <c r="P117" i="29"/>
  <c r="AC117" i="29"/>
  <c r="J117" i="29"/>
  <c r="H117" i="29"/>
  <c r="AD117" i="29"/>
  <c r="Z117" i="29"/>
  <c r="K117" i="29"/>
  <c r="L117" i="29"/>
  <c r="AF117" i="29"/>
  <c r="AB117" i="29"/>
  <c r="R117" i="29"/>
  <c r="T117" i="29"/>
  <c r="X117" i="29"/>
  <c r="S117" i="29"/>
  <c r="V117" i="29"/>
  <c r="AE117" i="29"/>
  <c r="U117" i="29"/>
  <c r="AA117" i="29"/>
  <c r="Y117" i="29"/>
  <c r="Q117" i="29"/>
  <c r="T87" i="29"/>
  <c r="G87" i="29"/>
  <c r="W87" i="29"/>
  <c r="AG87" i="29"/>
  <c r="N87" i="29"/>
  <c r="I87" i="29"/>
  <c r="Y87" i="29"/>
  <c r="R87" i="29"/>
  <c r="J87" i="29"/>
  <c r="S87" i="29"/>
  <c r="U87" i="29"/>
  <c r="X87" i="29"/>
  <c r="AF87" i="29"/>
  <c r="K87" i="29"/>
  <c r="F87" i="29"/>
  <c r="O87" i="29"/>
  <c r="Z87" i="29"/>
  <c r="AC87" i="29"/>
  <c r="Q87" i="29"/>
  <c r="AE87" i="29"/>
  <c r="AA87" i="29"/>
  <c r="AD87" i="29"/>
  <c r="P87" i="29"/>
  <c r="AB87" i="29"/>
  <c r="H87" i="29"/>
  <c r="V87" i="29"/>
  <c r="AH87" i="29"/>
  <c r="M87" i="29"/>
  <c r="E87" i="29"/>
  <c r="L87" i="29"/>
  <c r="V128" i="29"/>
  <c r="X128" i="29"/>
  <c r="Z128" i="29"/>
  <c r="Q128" i="29"/>
  <c r="E128" i="29"/>
  <c r="R128" i="29"/>
  <c r="Y128" i="29"/>
  <c r="O128" i="29"/>
  <c r="U128" i="29"/>
  <c r="T128" i="29"/>
  <c r="S128" i="29"/>
  <c r="AB128" i="29"/>
  <c r="J128" i="29"/>
  <c r="W128" i="29"/>
  <c r="AA128" i="29"/>
  <c r="G128" i="29"/>
  <c r="AH128" i="29"/>
  <c r="AE128" i="29"/>
  <c r="AF128" i="29"/>
  <c r="H128" i="29"/>
  <c r="AG128" i="29"/>
  <c r="L128" i="29"/>
  <c r="M128" i="29"/>
  <c r="AD128" i="29"/>
  <c r="AC128" i="29"/>
  <c r="K128" i="29"/>
  <c r="N128" i="29"/>
  <c r="I128" i="29"/>
  <c r="F128" i="29"/>
  <c r="P128" i="29"/>
  <c r="X68" i="29"/>
  <c r="AA68" i="29"/>
  <c r="H68" i="29"/>
  <c r="P68" i="29"/>
  <c r="AG68" i="29"/>
  <c r="I68" i="29"/>
  <c r="AH68" i="29"/>
  <c r="O68" i="29"/>
  <c r="F68" i="29"/>
  <c r="AE68" i="29"/>
  <c r="S68" i="29"/>
  <c r="R68" i="29"/>
  <c r="U68" i="29"/>
  <c r="AF68" i="29"/>
  <c r="J68" i="29"/>
  <c r="K68" i="29"/>
  <c r="Y68" i="29"/>
  <c r="G68" i="29"/>
  <c r="AD68" i="29"/>
  <c r="M68" i="29"/>
  <c r="L68" i="29"/>
  <c r="E68" i="29"/>
  <c r="T68" i="29"/>
  <c r="V68" i="29"/>
  <c r="N68" i="29"/>
  <c r="AB68" i="29"/>
  <c r="W68" i="29"/>
  <c r="Z68" i="29"/>
  <c r="Q68" i="29"/>
  <c r="AC68" i="29"/>
  <c r="AH120" i="29"/>
  <c r="F120" i="29"/>
  <c r="G120" i="29"/>
  <c r="W120" i="29"/>
  <c r="U120" i="29"/>
  <c r="N120" i="29"/>
  <c r="E120" i="29"/>
  <c r="M120" i="29"/>
  <c r="S120" i="29"/>
  <c r="P120" i="29"/>
  <c r="AC120" i="29"/>
  <c r="O120" i="29"/>
  <c r="AE120" i="29"/>
  <c r="R120" i="29"/>
  <c r="I120" i="29"/>
  <c r="AG120" i="29"/>
  <c r="AF120" i="29"/>
  <c r="AA120" i="29"/>
  <c r="Y120" i="29"/>
  <c r="Q120" i="29"/>
  <c r="AD120" i="29"/>
  <c r="Z120" i="29"/>
  <c r="H120" i="29"/>
  <c r="J120" i="29"/>
  <c r="T120" i="29"/>
  <c r="L120" i="29"/>
  <c r="K120" i="29"/>
  <c r="AB120" i="29"/>
  <c r="X120" i="29"/>
  <c r="V120" i="29"/>
  <c r="G89" i="29"/>
  <c r="T89" i="29"/>
  <c r="W89" i="29"/>
  <c r="AG89" i="29"/>
  <c r="X89" i="29"/>
  <c r="I89" i="29"/>
  <c r="U89" i="29"/>
  <c r="N89" i="29"/>
  <c r="R89" i="29"/>
  <c r="V89" i="29"/>
  <c r="M89" i="29"/>
  <c r="AH89" i="29"/>
  <c r="K89" i="29"/>
  <c r="AC89" i="29"/>
  <c r="O89" i="29"/>
  <c r="P89" i="29"/>
  <c r="S89" i="29"/>
  <c r="AE89" i="29"/>
  <c r="Q89" i="29"/>
  <c r="AF89" i="29"/>
  <c r="Z89" i="29"/>
  <c r="J89" i="29"/>
  <c r="L89" i="29"/>
  <c r="AB89" i="29"/>
  <c r="F89" i="29"/>
  <c r="AA89" i="29"/>
  <c r="E89" i="29"/>
  <c r="AD89" i="29"/>
  <c r="Y89" i="29"/>
  <c r="H89" i="29"/>
  <c r="V130" i="29"/>
  <c r="Q130" i="29"/>
  <c r="X130" i="29"/>
  <c r="AB130" i="29"/>
  <c r="Y130" i="29"/>
  <c r="H130" i="29"/>
  <c r="M130" i="29"/>
  <c r="Z130" i="29"/>
  <c r="O130" i="29"/>
  <c r="L130" i="29"/>
  <c r="AF130" i="29"/>
  <c r="AC130" i="29"/>
  <c r="I130" i="29"/>
  <c r="E130" i="29"/>
  <c r="P130" i="29"/>
  <c r="N130" i="29"/>
  <c r="K130" i="29"/>
  <c r="AE130" i="29"/>
  <c r="T130" i="29"/>
  <c r="G130" i="29"/>
  <c r="AH130" i="29"/>
  <c r="AA130" i="29"/>
  <c r="AG130" i="29"/>
  <c r="S130" i="29"/>
  <c r="F130" i="29"/>
  <c r="J130" i="29"/>
  <c r="R130" i="29"/>
  <c r="W130" i="29"/>
  <c r="U130" i="29"/>
  <c r="AD130" i="29"/>
  <c r="H75" i="29"/>
  <c r="P75" i="29"/>
  <c r="X75" i="29"/>
  <c r="I75" i="29"/>
  <c r="AA75" i="29"/>
  <c r="AG75" i="29"/>
  <c r="AH75" i="29"/>
  <c r="O75" i="29"/>
  <c r="F75" i="29"/>
  <c r="J75" i="29"/>
  <c r="L75" i="29"/>
  <c r="N75" i="29"/>
  <c r="S75" i="29"/>
  <c r="AF75" i="29"/>
  <c r="AB75" i="29"/>
  <c r="G75" i="29"/>
  <c r="M75" i="29"/>
  <c r="Z75" i="29"/>
  <c r="T75" i="29"/>
  <c r="AE75" i="29"/>
  <c r="W75" i="29"/>
  <c r="E75" i="29"/>
  <c r="R75" i="29"/>
  <c r="K75" i="29"/>
  <c r="Y75" i="29"/>
  <c r="AC75" i="29"/>
  <c r="U75" i="29"/>
  <c r="AD75" i="29"/>
  <c r="Q75" i="29"/>
  <c r="V75" i="29"/>
  <c r="T84" i="29"/>
  <c r="G84" i="29"/>
  <c r="W84" i="29"/>
  <c r="F84" i="29"/>
  <c r="I84" i="29"/>
  <c r="AB84" i="29"/>
  <c r="H84" i="29"/>
  <c r="N84" i="29"/>
  <c r="M84" i="29"/>
  <c r="P84" i="29"/>
  <c r="S84" i="29"/>
  <c r="Z84" i="29"/>
  <c r="AE84" i="29"/>
  <c r="U84" i="29"/>
  <c r="R84" i="29"/>
  <c r="X84" i="29"/>
  <c r="L84" i="29"/>
  <c r="K84" i="29"/>
  <c r="O84" i="29"/>
  <c r="E84" i="29"/>
  <c r="AA84" i="29"/>
  <c r="AF84" i="29"/>
  <c r="AH84" i="29"/>
  <c r="J84" i="29"/>
  <c r="Y84" i="29"/>
  <c r="AC84" i="29"/>
  <c r="Q84" i="29"/>
  <c r="V84" i="29"/>
  <c r="AD84" i="29"/>
  <c r="AG84" i="29"/>
  <c r="U133" i="29"/>
  <c r="V133" i="29"/>
  <c r="M133" i="29"/>
  <c r="T133" i="29"/>
  <c r="I133" i="29"/>
  <c r="S133" i="29"/>
  <c r="AH133" i="29"/>
  <c r="E133" i="29"/>
  <c r="R133" i="29"/>
  <c r="AF133" i="29"/>
  <c r="P133" i="29"/>
  <c r="N133" i="29"/>
  <c r="H133" i="29"/>
  <c r="AG133" i="29"/>
  <c r="O133" i="29"/>
  <c r="K133" i="29"/>
  <c r="AA133" i="29"/>
  <c r="AE133" i="29"/>
  <c r="G133" i="29"/>
  <c r="W133" i="29"/>
  <c r="F133" i="29"/>
  <c r="X133" i="29"/>
  <c r="L133" i="29"/>
  <c r="Y133" i="29"/>
  <c r="AC133" i="29"/>
  <c r="AD133" i="29"/>
  <c r="Z133" i="29"/>
  <c r="Q133" i="29"/>
  <c r="AB133" i="29"/>
  <c r="J133" i="29"/>
  <c r="P74" i="29"/>
  <c r="H74" i="29"/>
  <c r="AA74" i="29"/>
  <c r="AG74" i="29"/>
  <c r="I74" i="29"/>
  <c r="AH74" i="29"/>
  <c r="X74" i="29"/>
  <c r="R74" i="29"/>
  <c r="O74" i="29"/>
  <c r="F74" i="29"/>
  <c r="U74" i="29"/>
  <c r="AE74" i="29"/>
  <c r="AB74" i="29"/>
  <c r="S74" i="29"/>
  <c r="N74" i="29"/>
  <c r="AC74" i="29"/>
  <c r="AD74" i="29"/>
  <c r="L74" i="29"/>
  <c r="M74" i="29"/>
  <c r="K74" i="29"/>
  <c r="V74" i="29"/>
  <c r="Y74" i="29"/>
  <c r="Z74" i="29"/>
  <c r="W74" i="29"/>
  <c r="AF74" i="29"/>
  <c r="J74" i="29"/>
  <c r="E74" i="29"/>
  <c r="G74" i="29"/>
  <c r="T74" i="29"/>
  <c r="Q74" i="29"/>
  <c r="H69" i="29"/>
  <c r="AA69" i="29"/>
  <c r="AG69" i="29"/>
  <c r="P69" i="29"/>
  <c r="I69" i="29"/>
  <c r="AH69" i="29"/>
  <c r="X69" i="29"/>
  <c r="O69" i="29"/>
  <c r="N69" i="29"/>
  <c r="S69" i="29"/>
  <c r="AC69" i="29"/>
  <c r="L69" i="29"/>
  <c r="F69" i="29"/>
  <c r="J69" i="29"/>
  <c r="AF69" i="29"/>
  <c r="V69" i="29"/>
  <c r="K69" i="29"/>
  <c r="Q69" i="29"/>
  <c r="E69" i="29"/>
  <c r="M69" i="29"/>
  <c r="Y69" i="29"/>
  <c r="Z69" i="29"/>
  <c r="AD69" i="29"/>
  <c r="G69" i="29"/>
  <c r="W69" i="29"/>
  <c r="AE69" i="29"/>
  <c r="T69" i="29"/>
  <c r="AB69" i="29"/>
  <c r="R69" i="29"/>
  <c r="U69" i="29"/>
  <c r="AH113" i="29"/>
  <c r="W113" i="29"/>
  <c r="G113" i="29"/>
  <c r="F113" i="29"/>
  <c r="N113" i="29"/>
  <c r="E113" i="29"/>
  <c r="U113" i="29"/>
  <c r="AB113" i="29"/>
  <c r="L113" i="29"/>
  <c r="H113" i="29"/>
  <c r="M113" i="29"/>
  <c r="P113" i="29"/>
  <c r="R113" i="29"/>
  <c r="K113" i="29"/>
  <c r="I113" i="29"/>
  <c r="X113" i="29"/>
  <c r="AC113" i="29"/>
  <c r="AA113" i="29"/>
  <c r="S113" i="29"/>
  <c r="Y113" i="29"/>
  <c r="Q113" i="29"/>
  <c r="T113" i="29"/>
  <c r="J113" i="29"/>
  <c r="O113" i="29"/>
  <c r="AE113" i="29"/>
  <c r="AF113" i="29"/>
  <c r="AD113" i="29"/>
  <c r="V113" i="29"/>
  <c r="Z113" i="29"/>
  <c r="AG113" i="29"/>
  <c r="T82" i="29"/>
  <c r="W82" i="29"/>
  <c r="G82" i="29"/>
  <c r="X82" i="29"/>
  <c r="P82" i="29"/>
  <c r="Y82" i="29"/>
  <c r="S82" i="29"/>
  <c r="O82" i="29"/>
  <c r="F82" i="29"/>
  <c r="R82" i="29"/>
  <c r="U82" i="29"/>
  <c r="AF82" i="29"/>
  <c r="Z82" i="29"/>
  <c r="K82" i="29"/>
  <c r="E82" i="29"/>
  <c r="N82" i="29"/>
  <c r="L82" i="29"/>
  <c r="AG82" i="29"/>
  <c r="J82" i="29"/>
  <c r="V82" i="29"/>
  <c r="AB82" i="29"/>
  <c r="AA82" i="29"/>
  <c r="I82" i="29"/>
  <c r="H82" i="29"/>
  <c r="AH82" i="29"/>
  <c r="AE82" i="29"/>
  <c r="AC82" i="29"/>
  <c r="AD82" i="29"/>
  <c r="M82" i="29"/>
  <c r="Q82" i="29"/>
  <c r="V131" i="29"/>
  <c r="M131" i="29"/>
  <c r="I131" i="29"/>
  <c r="AG131" i="29"/>
  <c r="T131" i="29"/>
  <c r="E131" i="29"/>
  <c r="AD131" i="29"/>
  <c r="Y131" i="29"/>
  <c r="Z131" i="29"/>
  <c r="AB131" i="29"/>
  <c r="J131" i="29"/>
  <c r="AH131" i="29"/>
  <c r="H131" i="29"/>
  <c r="Q131" i="29"/>
  <c r="L131" i="29"/>
  <c r="AA131" i="29"/>
  <c r="S131" i="29"/>
  <c r="AF131" i="29"/>
  <c r="P131" i="29"/>
  <c r="AC131" i="29"/>
  <c r="R131" i="29"/>
  <c r="U131" i="29"/>
  <c r="O131" i="29"/>
  <c r="X131" i="29"/>
  <c r="W131" i="29"/>
  <c r="AE131" i="29"/>
  <c r="F131" i="29"/>
  <c r="N131" i="29"/>
  <c r="K131" i="29"/>
  <c r="G131" i="29"/>
  <c r="G118" i="29"/>
  <c r="AH118" i="29"/>
  <c r="E118" i="29"/>
  <c r="W118" i="29"/>
  <c r="F118" i="29"/>
  <c r="N118" i="29"/>
  <c r="U118" i="29"/>
  <c r="O118" i="29"/>
  <c r="AF118" i="29"/>
  <c r="Y118" i="29"/>
  <c r="V118" i="29"/>
  <c r="AG118" i="29"/>
  <c r="H118" i="29"/>
  <c r="AA118" i="29"/>
  <c r="M118" i="29"/>
  <c r="AE118" i="29"/>
  <c r="J118" i="29"/>
  <c r="T118" i="29"/>
  <c r="X118" i="29"/>
  <c r="Q118" i="29"/>
  <c r="AB118" i="29"/>
  <c r="AD118" i="29"/>
  <c r="I118" i="29"/>
  <c r="R118" i="29"/>
  <c r="S118" i="29"/>
  <c r="P118" i="29"/>
  <c r="L118" i="29"/>
  <c r="AC118" i="29"/>
  <c r="Z118" i="29"/>
  <c r="K118" i="29"/>
  <c r="AA70" i="29"/>
  <c r="P70" i="29"/>
  <c r="X70" i="29"/>
  <c r="H70" i="29"/>
  <c r="AH70" i="29"/>
  <c r="AG70" i="29"/>
  <c r="I70" i="29"/>
  <c r="R70" i="29"/>
  <c r="N70" i="29"/>
  <c r="AB70" i="29"/>
  <c r="AE70" i="29"/>
  <c r="S70" i="29"/>
  <c r="E70" i="29"/>
  <c r="M70" i="29"/>
  <c r="U70" i="29"/>
  <c r="J70" i="29"/>
  <c r="AF70" i="29"/>
  <c r="O70" i="29"/>
  <c r="Q70" i="29"/>
  <c r="F70" i="29"/>
  <c r="V70" i="29"/>
  <c r="W70" i="29"/>
  <c r="AD70" i="29"/>
  <c r="L70" i="29"/>
  <c r="G70" i="29"/>
  <c r="T70" i="29"/>
  <c r="AC70" i="29"/>
  <c r="K70" i="29"/>
  <c r="Z70" i="29"/>
  <c r="Y70" i="29"/>
  <c r="F119" i="29"/>
  <c r="W119" i="29"/>
  <c r="G119" i="29"/>
  <c r="E119" i="29"/>
  <c r="AH119" i="29"/>
  <c r="N119" i="29"/>
  <c r="Y119" i="29"/>
  <c r="I119" i="29"/>
  <c r="H119" i="29"/>
  <c r="O119" i="29"/>
  <c r="R119" i="29"/>
  <c r="AB119" i="29"/>
  <c r="J119" i="29"/>
  <c r="K119" i="29"/>
  <c r="Z119" i="29"/>
  <c r="V119" i="29"/>
  <c r="T119" i="29"/>
  <c r="AA119" i="29"/>
  <c r="U119" i="29"/>
  <c r="S119" i="29"/>
  <c r="P119" i="29"/>
  <c r="AF119" i="29"/>
  <c r="X119" i="29"/>
  <c r="AC119" i="29"/>
  <c r="Q119" i="29"/>
  <c r="AD119" i="29"/>
  <c r="AE119" i="29"/>
  <c r="M119" i="29"/>
  <c r="AG119" i="29"/>
  <c r="L119" i="29"/>
  <c r="G88" i="29"/>
  <c r="W88" i="29"/>
  <c r="T88" i="29"/>
  <c r="H88" i="29"/>
  <c r="X88" i="29"/>
  <c r="N88" i="29"/>
  <c r="J88" i="29"/>
  <c r="I88" i="29"/>
  <c r="L88" i="29"/>
  <c r="AG88" i="29"/>
  <c r="F88" i="29"/>
  <c r="S88" i="29"/>
  <c r="AB88" i="29"/>
  <c r="AA88" i="29"/>
  <c r="E88" i="29"/>
  <c r="R88" i="29"/>
  <c r="O88" i="29"/>
  <c r="P88" i="29"/>
  <c r="AF88" i="29"/>
  <c r="AD88" i="29"/>
  <c r="AH88" i="29"/>
  <c r="AC88" i="29"/>
  <c r="V88" i="29"/>
  <c r="U88" i="29"/>
  <c r="Y88" i="29"/>
  <c r="Q88" i="29"/>
  <c r="AE88" i="29"/>
  <c r="Z88" i="29"/>
  <c r="M88" i="29"/>
  <c r="K88" i="29"/>
  <c r="V129" i="29"/>
  <c r="Z129" i="29"/>
  <c r="I129" i="29"/>
  <c r="G129" i="29"/>
  <c r="J129" i="29"/>
  <c r="P129" i="29"/>
  <c r="AH129" i="29"/>
  <c r="K129" i="29"/>
  <c r="U129" i="29"/>
  <c r="AB129" i="29"/>
  <c r="O129" i="29"/>
  <c r="AG129" i="29"/>
  <c r="E129" i="29"/>
  <c r="M129" i="29"/>
  <c r="AD129" i="29"/>
  <c r="AC129" i="29"/>
  <c r="X129" i="29"/>
  <c r="L129" i="29"/>
  <c r="AE129" i="29"/>
  <c r="R129" i="29"/>
  <c r="N129" i="29"/>
  <c r="AA129" i="29"/>
  <c r="T129" i="29"/>
  <c r="Q129" i="29"/>
  <c r="W129" i="29"/>
  <c r="H129" i="29"/>
  <c r="S129" i="29"/>
  <c r="F129" i="29"/>
  <c r="Y129" i="29"/>
  <c r="AF129" i="29"/>
  <c r="G13" i="54"/>
  <c r="N11" i="54"/>
  <c r="G41" i="54"/>
  <c r="G36" i="54"/>
  <c r="N9" i="54"/>
  <c r="N45" i="54"/>
  <c r="N8" i="54"/>
  <c r="N5" i="54"/>
  <c r="N35" i="54"/>
  <c r="N19" i="54"/>
  <c r="N20" i="54"/>
  <c r="N14" i="54"/>
  <c r="N27" i="54"/>
  <c r="G4" i="54"/>
  <c r="M13" i="31" s="1"/>
  <c r="G39" i="54"/>
  <c r="N32" i="54"/>
  <c r="N40" i="54"/>
  <c r="N17" i="54"/>
  <c r="N24" i="54"/>
  <c r="N22" i="54"/>
  <c r="N29" i="54"/>
  <c r="N26" i="54"/>
  <c r="N43" i="54"/>
  <c r="G33" i="54"/>
  <c r="M73" i="31" s="1"/>
  <c r="G44" i="54"/>
  <c r="G29" i="54"/>
  <c r="M41" i="31" s="1"/>
  <c r="G23" i="54"/>
  <c r="G21" i="54"/>
  <c r="G20" i="54"/>
  <c r="G14" i="54"/>
  <c r="C39" i="54"/>
  <c r="C34" i="54"/>
  <c r="C44" i="54"/>
  <c r="N21" i="54"/>
  <c r="C25" i="54"/>
  <c r="N38" i="54"/>
  <c r="C23" i="54"/>
  <c r="C15" i="54"/>
  <c r="C13" i="54"/>
  <c r="C30" i="54"/>
  <c r="C12" i="54"/>
  <c r="C31" i="54"/>
  <c r="C4" i="54"/>
  <c r="I13" i="31" s="1"/>
  <c r="C33" i="54"/>
  <c r="C37" i="54"/>
  <c r="C16" i="54"/>
  <c r="C41" i="54"/>
  <c r="C36" i="54"/>
  <c r="I85" i="31" s="1"/>
  <c r="C10" i="54"/>
  <c r="C7" i="54"/>
  <c r="C6" i="54"/>
  <c r="C42" i="54"/>
  <c r="I40" i="54"/>
  <c r="F40" i="54"/>
  <c r="I31" i="54"/>
  <c r="F31" i="54"/>
  <c r="L46" i="31" s="1"/>
  <c r="D253" i="29" s="1"/>
  <c r="I21" i="54"/>
  <c r="F21" i="54"/>
  <c r="I11" i="54"/>
  <c r="F11" i="54"/>
  <c r="H7" i="54"/>
  <c r="G7" i="54"/>
  <c r="H25" i="54"/>
  <c r="G25" i="54"/>
  <c r="H16" i="54"/>
  <c r="G16" i="54"/>
  <c r="M44" i="54"/>
  <c r="E44" i="54"/>
  <c r="D44" i="54"/>
  <c r="M40" i="54"/>
  <c r="E40" i="54"/>
  <c r="M36" i="54"/>
  <c r="E36" i="54"/>
  <c r="D36" i="54"/>
  <c r="M32" i="54"/>
  <c r="D32" i="54"/>
  <c r="M27" i="54"/>
  <c r="E27" i="54"/>
  <c r="M23" i="54"/>
  <c r="E23" i="54"/>
  <c r="D23" i="54"/>
  <c r="M19" i="54"/>
  <c r="E19" i="54"/>
  <c r="M14" i="54"/>
  <c r="E14" i="54"/>
  <c r="M10" i="54"/>
  <c r="E10" i="54"/>
  <c r="D10" i="54"/>
  <c r="M6" i="54"/>
  <c r="E6" i="54"/>
  <c r="D6" i="54"/>
  <c r="I39" i="54"/>
  <c r="F39" i="54"/>
  <c r="I29" i="54"/>
  <c r="O41" i="31" s="1"/>
  <c r="F29" i="54"/>
  <c r="L41" i="31" s="1"/>
  <c r="I20" i="54"/>
  <c r="F20" i="54"/>
  <c r="I8" i="54"/>
  <c r="F8" i="54"/>
  <c r="H40" i="54"/>
  <c r="G40" i="54"/>
  <c r="I38" i="54"/>
  <c r="O75" i="31" s="1"/>
  <c r="F38" i="54"/>
  <c r="I27" i="54"/>
  <c r="F27" i="54"/>
  <c r="I19" i="54"/>
  <c r="F19" i="54"/>
  <c r="I7" i="54"/>
  <c r="F7" i="54"/>
  <c r="H17" i="54"/>
  <c r="G17" i="54"/>
  <c r="H31" i="54"/>
  <c r="G31" i="54"/>
  <c r="M46" i="31" s="1"/>
  <c r="D254" i="29" s="1"/>
  <c r="H12" i="54"/>
  <c r="G12" i="54"/>
  <c r="H22" i="54"/>
  <c r="G22" i="54"/>
  <c r="M43" i="54"/>
  <c r="E43" i="54"/>
  <c r="M39" i="54"/>
  <c r="D39" i="54"/>
  <c r="M35" i="54"/>
  <c r="D35" i="54"/>
  <c r="J69" i="31" s="1"/>
  <c r="M31" i="54"/>
  <c r="E31" i="54"/>
  <c r="D31" i="54"/>
  <c r="J46" i="31" s="1"/>
  <c r="D251" i="29" s="1"/>
  <c r="M26" i="54"/>
  <c r="E26" i="54"/>
  <c r="M22" i="54"/>
  <c r="D22" i="54"/>
  <c r="M17" i="54"/>
  <c r="E17" i="54"/>
  <c r="D17" i="54"/>
  <c r="M13" i="54"/>
  <c r="E13" i="54"/>
  <c r="D13" i="54"/>
  <c r="M9" i="54"/>
  <c r="D9" i="54"/>
  <c r="M5" i="54"/>
  <c r="D5" i="54"/>
  <c r="I37" i="54"/>
  <c r="F37" i="54"/>
  <c r="I26" i="54"/>
  <c r="F26" i="54"/>
  <c r="I17" i="54"/>
  <c r="F17" i="54"/>
  <c r="I6" i="54"/>
  <c r="F6" i="54"/>
  <c r="H27" i="54"/>
  <c r="G27" i="54"/>
  <c r="I44" i="54"/>
  <c r="F44" i="54"/>
  <c r="I36" i="54"/>
  <c r="F36" i="54"/>
  <c r="I25" i="54"/>
  <c r="F25" i="54"/>
  <c r="I16" i="54"/>
  <c r="F16" i="54"/>
  <c r="I5" i="54"/>
  <c r="F5" i="54"/>
  <c r="H42" i="54"/>
  <c r="G42" i="54"/>
  <c r="H37" i="54"/>
  <c r="G37" i="54"/>
  <c r="H19" i="54"/>
  <c r="G19" i="54"/>
  <c r="H35" i="54"/>
  <c r="N69" i="31" s="1"/>
  <c r="G35" i="54"/>
  <c r="M69" i="31" s="1"/>
  <c r="M42" i="54"/>
  <c r="E42" i="54"/>
  <c r="D42" i="54"/>
  <c r="M38" i="54"/>
  <c r="E38" i="54"/>
  <c r="M34" i="54"/>
  <c r="E34" i="54"/>
  <c r="D34" i="54"/>
  <c r="M30" i="54"/>
  <c r="E30" i="54"/>
  <c r="D30" i="54"/>
  <c r="J45" i="31" s="1"/>
  <c r="M25" i="54"/>
  <c r="D25" i="54"/>
  <c r="M21" i="54"/>
  <c r="E21" i="54"/>
  <c r="M16" i="54"/>
  <c r="E16" i="54"/>
  <c r="D16" i="54"/>
  <c r="M12" i="54"/>
  <c r="E12" i="54"/>
  <c r="D12" i="54"/>
  <c r="M8" i="54"/>
  <c r="E8" i="54"/>
  <c r="M4" i="54"/>
  <c r="E4" i="54"/>
  <c r="K13" i="31" s="1"/>
  <c r="D4" i="54"/>
  <c r="J13" i="31" s="1"/>
  <c r="I43" i="54"/>
  <c r="F43" i="54"/>
  <c r="I35" i="54"/>
  <c r="O69" i="31" s="1"/>
  <c r="F35" i="54"/>
  <c r="L69" i="31" s="1"/>
  <c r="I24" i="54"/>
  <c r="F24" i="54"/>
  <c r="I14" i="54"/>
  <c r="F14" i="54"/>
  <c r="I4" i="54"/>
  <c r="O13" i="31" s="1"/>
  <c r="F4" i="54"/>
  <c r="L13" i="31" s="1"/>
  <c r="H26" i="54"/>
  <c r="G26" i="54"/>
  <c r="H34" i="54"/>
  <c r="G34" i="54"/>
  <c r="H6" i="54"/>
  <c r="G6" i="54"/>
  <c r="H8" i="54"/>
  <c r="G8" i="54"/>
  <c r="I42" i="54"/>
  <c r="F42" i="54"/>
  <c r="I34" i="54"/>
  <c r="F34" i="54"/>
  <c r="I23" i="54"/>
  <c r="F23" i="54"/>
  <c r="I13" i="54"/>
  <c r="F13" i="54"/>
  <c r="H45" i="54"/>
  <c r="G45" i="54"/>
  <c r="H5" i="54"/>
  <c r="G5" i="54"/>
  <c r="M45" i="54"/>
  <c r="E45" i="54"/>
  <c r="D45" i="54"/>
  <c r="M41" i="54"/>
  <c r="E41" i="54"/>
  <c r="D41" i="54"/>
  <c r="M37" i="54"/>
  <c r="E37" i="54"/>
  <c r="K74" i="31" s="1"/>
  <c r="D37" i="54"/>
  <c r="M33" i="54"/>
  <c r="E33" i="54"/>
  <c r="D33" i="54"/>
  <c r="M29" i="54"/>
  <c r="E29" i="54"/>
  <c r="K41" i="31" s="1"/>
  <c r="M24" i="54"/>
  <c r="E24" i="54"/>
  <c r="M20" i="54"/>
  <c r="E20" i="54"/>
  <c r="M15" i="54"/>
  <c r="E15" i="54"/>
  <c r="D15" i="54"/>
  <c r="M11" i="54"/>
  <c r="E11" i="54"/>
  <c r="D11" i="54"/>
  <c r="M7" i="54"/>
  <c r="E7" i="54"/>
  <c r="D7" i="54"/>
  <c r="I41" i="54"/>
  <c r="F41" i="54"/>
  <c r="I33" i="54"/>
  <c r="O73" i="31" s="1"/>
  <c r="F33" i="54"/>
  <c r="L73" i="31" s="1"/>
  <c r="I22" i="54"/>
  <c r="F22" i="54"/>
  <c r="I12" i="54"/>
  <c r="F12" i="54"/>
  <c r="H11" i="54"/>
  <c r="G11" i="54"/>
  <c r="H24" i="54"/>
  <c r="G24" i="54"/>
  <c r="H43" i="54"/>
  <c r="G43" i="54"/>
  <c r="H38" i="54"/>
  <c r="N75" i="31" s="1"/>
  <c r="G38" i="54"/>
  <c r="D343" i="29" l="1"/>
  <c r="D373" i="29"/>
  <c r="D356" i="29"/>
  <c r="D344" i="29"/>
  <c r="D346" i="29"/>
  <c r="D374" i="29"/>
  <c r="L74" i="31"/>
  <c r="M75" i="31"/>
  <c r="L85" i="31"/>
  <c r="O85" i="31"/>
  <c r="L75" i="31"/>
  <c r="M74" i="31"/>
  <c r="M45" i="31"/>
  <c r="D8" i="54"/>
  <c r="N74" i="31"/>
  <c r="N85" i="31"/>
  <c r="O46" i="31"/>
  <c r="D256" i="29" s="1"/>
  <c r="O45" i="31"/>
  <c r="N46" i="31"/>
  <c r="D255" i="29" s="1"/>
  <c r="N45" i="31"/>
  <c r="C5" i="54"/>
  <c r="L45" i="31"/>
  <c r="K85" i="31"/>
  <c r="C27" i="54"/>
  <c r="D38" i="54"/>
  <c r="J75" i="31" s="1"/>
  <c r="O74" i="31"/>
  <c r="M85" i="31"/>
  <c r="J85" i="31"/>
  <c r="I45" i="31"/>
  <c r="K45" i="31"/>
  <c r="J73" i="31"/>
  <c r="N37" i="31"/>
  <c r="N9" i="31"/>
  <c r="D27" i="54"/>
  <c r="C17" i="54"/>
  <c r="M37" i="31"/>
  <c r="M9" i="31"/>
  <c r="L37" i="31"/>
  <c r="L9" i="31"/>
  <c r="O9" i="31"/>
  <c r="O37" i="31"/>
  <c r="E32" i="54"/>
  <c r="K73" i="31" s="1"/>
  <c r="I37" i="31"/>
  <c r="I9" i="31"/>
  <c r="C9" i="54"/>
  <c r="C11" i="54"/>
  <c r="J37" i="31"/>
  <c r="J9" i="31"/>
  <c r="D40" i="54"/>
  <c r="K37" i="31"/>
  <c r="K9" i="31"/>
  <c r="D19" i="54"/>
  <c r="D21" i="54"/>
  <c r="D43" i="54"/>
  <c r="E9" i="54"/>
  <c r="C40" i="54"/>
  <c r="C19" i="54"/>
  <c r="C24" i="54"/>
  <c r="C35" i="54"/>
  <c r="I69" i="31" s="1"/>
  <c r="C45" i="54"/>
  <c r="C8" i="54"/>
  <c r="D14" i="54"/>
  <c r="C20" i="54"/>
  <c r="C14" i="54"/>
  <c r="C43" i="54"/>
  <c r="E35" i="54"/>
  <c r="K69" i="31" s="1"/>
  <c r="E5" i="54"/>
  <c r="C32" i="54"/>
  <c r="I73" i="31" s="1"/>
  <c r="E22" i="54"/>
  <c r="D26" i="54"/>
  <c r="C22" i="54"/>
  <c r="E39" i="54"/>
  <c r="K75" i="31" s="1"/>
  <c r="C26" i="54"/>
  <c r="C29" i="54"/>
  <c r="I41" i="31" s="1"/>
  <c r="D24" i="54"/>
  <c r="E25" i="54"/>
  <c r="D29" i="54"/>
  <c r="J41" i="31" s="1"/>
  <c r="D20" i="54"/>
  <c r="C21" i="54"/>
  <c r="C38" i="54"/>
  <c r="I75" i="31" s="1"/>
  <c r="B26" i="54"/>
  <c r="B17" i="54"/>
  <c r="J17" i="54" s="1"/>
  <c r="B9" i="54"/>
  <c r="B39" i="54"/>
  <c r="B31" i="54"/>
  <c r="B6" i="54"/>
  <c r="B22" i="54"/>
  <c r="B24" i="54"/>
  <c r="B13" i="54"/>
  <c r="J13" i="54" s="1"/>
  <c r="B32" i="54"/>
  <c r="B41" i="54"/>
  <c r="J41" i="54" s="1"/>
  <c r="B33" i="54"/>
  <c r="J33" i="54" s="1"/>
  <c r="B15" i="54"/>
  <c r="J15" i="54" s="1"/>
  <c r="B35" i="54"/>
  <c r="B25" i="54"/>
  <c r="B34" i="54"/>
  <c r="J34" i="54" s="1"/>
  <c r="B42" i="54"/>
  <c r="J42" i="54" s="1"/>
  <c r="B5" i="54"/>
  <c r="B44" i="54"/>
  <c r="J44" i="54" s="1"/>
  <c r="B11" i="54"/>
  <c r="B45" i="54"/>
  <c r="B4" i="54"/>
  <c r="B21" i="54"/>
  <c r="B30" i="54"/>
  <c r="B10" i="54"/>
  <c r="J10" i="54" s="1"/>
  <c r="B19" i="54"/>
  <c r="B27" i="54"/>
  <c r="B36" i="54"/>
  <c r="B20" i="54"/>
  <c r="B29" i="54"/>
  <c r="H41" i="31" s="1"/>
  <c r="B37" i="54"/>
  <c r="B12" i="54"/>
  <c r="J12" i="54" s="1"/>
  <c r="B38" i="54"/>
  <c r="B43" i="54"/>
  <c r="B7" i="54"/>
  <c r="J7" i="54" s="1"/>
  <c r="B8" i="54"/>
  <c r="B16" i="54"/>
  <c r="J16" i="54" s="1"/>
  <c r="B14" i="54"/>
  <c r="B23" i="54"/>
  <c r="J23" i="54" s="1"/>
  <c r="B40" i="54"/>
  <c r="J27" i="54" l="1"/>
  <c r="D340" i="29"/>
  <c r="D164" i="29"/>
  <c r="D358" i="29"/>
  <c r="D372" i="29"/>
  <c r="D357" i="29"/>
  <c r="D342" i="29"/>
  <c r="D369" i="29"/>
  <c r="D360" i="29"/>
  <c r="D370" i="29"/>
  <c r="D165" i="29"/>
  <c r="D163" i="29"/>
  <c r="D160" i="29"/>
  <c r="D371" i="29"/>
  <c r="D162" i="29"/>
  <c r="D166" i="29"/>
  <c r="D368" i="29"/>
  <c r="D161" i="29"/>
  <c r="D341" i="29"/>
  <c r="D359" i="29"/>
  <c r="K46" i="31"/>
  <c r="D252" i="29" s="1"/>
  <c r="J11" i="54"/>
  <c r="J40" i="54"/>
  <c r="I74" i="31"/>
  <c r="J14" i="54"/>
  <c r="J43" i="54"/>
  <c r="J74" i="31"/>
  <c r="I46" i="31"/>
  <c r="D250" i="29" s="1"/>
  <c r="J21" i="54"/>
  <c r="J9" i="54"/>
  <c r="J8" i="54"/>
  <c r="J19" i="54"/>
  <c r="J6" i="54"/>
  <c r="H37" i="31"/>
  <c r="H9" i="31"/>
  <c r="J45" i="54"/>
  <c r="J20" i="54"/>
  <c r="J22" i="54"/>
  <c r="J39" i="54"/>
  <c r="J26" i="54"/>
  <c r="J5" i="54"/>
  <c r="J24" i="54"/>
  <c r="J25" i="54"/>
  <c r="J29" i="54"/>
  <c r="J4" i="54"/>
  <c r="H13" i="31"/>
  <c r="J35" i="54"/>
  <c r="H69" i="31"/>
  <c r="J31" i="54"/>
  <c r="H46" i="31"/>
  <c r="D249" i="29" s="1"/>
  <c r="J38" i="54"/>
  <c r="H75" i="31"/>
  <c r="J36" i="54"/>
  <c r="H85" i="31"/>
  <c r="J32" i="54"/>
  <c r="H73" i="31"/>
  <c r="J30" i="54"/>
  <c r="H45" i="31"/>
  <c r="J37" i="54"/>
  <c r="H74" i="31"/>
  <c r="B109" i="51"/>
  <c r="B18" i="51"/>
  <c r="B19" i="51"/>
  <c r="B20" i="51"/>
  <c r="B21" i="51"/>
  <c r="G21" i="51" s="1"/>
  <c r="B22" i="51"/>
  <c r="H1" i="51"/>
  <c r="H2" i="51" s="1"/>
  <c r="E4" i="51"/>
  <c r="F4" i="51" s="1"/>
  <c r="E5" i="51"/>
  <c r="F5" i="51" s="1"/>
  <c r="E6" i="51"/>
  <c r="F6" i="51" s="1"/>
  <c r="E7" i="51"/>
  <c r="F7" i="51" s="1"/>
  <c r="E8" i="51"/>
  <c r="F8" i="51" s="1"/>
  <c r="E9" i="51"/>
  <c r="F9" i="51" s="1"/>
  <c r="D21" i="51"/>
  <c r="D354" i="29" l="1"/>
  <c r="D339" i="29"/>
  <c r="D353" i="29"/>
  <c r="D367" i="29"/>
  <c r="D355" i="29"/>
  <c r="D159" i="29"/>
  <c r="G8" i="51"/>
  <c r="H8" i="51" s="1"/>
  <c r="G6" i="51"/>
  <c r="H6" i="51" s="1"/>
  <c r="G5" i="51"/>
  <c r="H5" i="51" s="1"/>
  <c r="G7" i="51"/>
  <c r="H7" i="51" s="1"/>
  <c r="G9" i="51"/>
  <c r="H9" i="51" s="1"/>
  <c r="G4" i="51"/>
  <c r="H4" i="51" s="1"/>
  <c r="B110" i="52"/>
  <c r="E120" i="52"/>
  <c r="D120" i="52"/>
  <c r="E119" i="52"/>
  <c r="D119" i="52"/>
  <c r="E118" i="52"/>
  <c r="D118" i="52"/>
  <c r="E117" i="52"/>
  <c r="D117" i="52"/>
  <c r="E116" i="52"/>
  <c r="D116" i="52"/>
  <c r="E115" i="52"/>
  <c r="D115" i="52"/>
  <c r="E114" i="52"/>
  <c r="D114" i="52"/>
  <c r="E113" i="52"/>
  <c r="D113" i="52"/>
  <c r="E112" i="52"/>
  <c r="D112" i="52"/>
  <c r="E111" i="52"/>
  <c r="D111" i="52"/>
  <c r="E110" i="52"/>
  <c r="D110" i="52"/>
  <c r="AC110" i="52"/>
  <c r="AC111" i="52" s="1"/>
  <c r="AC112" i="52" s="1"/>
  <c r="AC113" i="52" s="1"/>
  <c r="AC114" i="52" s="1"/>
  <c r="AC115" i="52" s="1"/>
  <c r="AC116" i="52" s="1"/>
  <c r="AC117" i="52" s="1"/>
  <c r="AC118" i="52" s="1"/>
  <c r="AC119" i="52" s="1"/>
  <c r="Z110" i="52"/>
  <c r="Z111" i="52" s="1"/>
  <c r="Z112" i="52" s="1"/>
  <c r="Z113" i="52" s="1"/>
  <c r="Z114" i="52" s="1"/>
  <c r="Z115" i="52" s="1"/>
  <c r="Z116" i="52" s="1"/>
  <c r="Z117" i="52" s="1"/>
  <c r="Z118" i="52" s="1"/>
  <c r="Z119" i="52" s="1"/>
  <c r="B120" i="52" s="1"/>
  <c r="D375" i="29" l="1"/>
  <c r="D376" i="29" s="1"/>
  <c r="B119" i="52"/>
  <c r="B112" i="52"/>
  <c r="B111" i="52"/>
  <c r="B113" i="52"/>
  <c r="B114" i="52"/>
  <c r="B115" i="52"/>
  <c r="B116" i="52"/>
  <c r="B117" i="52"/>
  <c r="B118" i="52"/>
  <c r="E49" i="26"/>
  <c r="E45" i="26"/>
  <c r="E41" i="26"/>
  <c r="E37" i="26"/>
  <c r="E33" i="26"/>
  <c r="E29" i="26"/>
  <c r="E50" i="26"/>
  <c r="E46" i="26"/>
  <c r="E42" i="26"/>
  <c r="E38" i="26"/>
  <c r="E34" i="26"/>
  <c r="E30" i="26"/>
  <c r="E27" i="26"/>
  <c r="E26" i="26"/>
  <c r="E25" i="26"/>
  <c r="E24" i="26"/>
  <c r="E23" i="26"/>
  <c r="E22" i="26"/>
  <c r="E21" i="26"/>
  <c r="E20" i="26"/>
  <c r="E19" i="26"/>
  <c r="E18" i="26"/>
  <c r="B26" i="26"/>
  <c r="B24" i="26"/>
  <c r="B22" i="26"/>
  <c r="B27" i="26"/>
  <c r="E15" i="26"/>
  <c r="E12" i="26"/>
  <c r="E10" i="26"/>
  <c r="AE28" i="14" l="1"/>
  <c r="W28" i="14"/>
  <c r="O28" i="14"/>
  <c r="G28" i="14"/>
  <c r="AC28" i="14"/>
  <c r="M28" i="14"/>
  <c r="J28" i="14"/>
  <c r="AG28" i="14"/>
  <c r="P28" i="14"/>
  <c r="AD28" i="14"/>
  <c r="V28" i="14"/>
  <c r="N28" i="14"/>
  <c r="F28" i="14"/>
  <c r="U28" i="14"/>
  <c r="AB28" i="14"/>
  <c r="T28" i="14"/>
  <c r="L28" i="14"/>
  <c r="Y28" i="14"/>
  <c r="AF28" i="14"/>
  <c r="AA28" i="14"/>
  <c r="S28" i="14"/>
  <c r="K28" i="14"/>
  <c r="Z28" i="14"/>
  <c r="I28" i="14"/>
  <c r="X28" i="14"/>
  <c r="AH28" i="14"/>
  <c r="R28" i="14"/>
  <c r="Q28" i="14"/>
  <c r="H28" i="14"/>
  <c r="AC40" i="14"/>
  <c r="U40" i="14"/>
  <c r="M40" i="14"/>
  <c r="AE40" i="14"/>
  <c r="AD40" i="14"/>
  <c r="AB40" i="14"/>
  <c r="T40" i="14"/>
  <c r="L40" i="14"/>
  <c r="AF40" i="14"/>
  <c r="G40" i="14"/>
  <c r="V40" i="14"/>
  <c r="AA40" i="14"/>
  <c r="S40" i="14"/>
  <c r="K40" i="14"/>
  <c r="H40" i="14"/>
  <c r="O40" i="14"/>
  <c r="F40" i="14"/>
  <c r="AH40" i="14"/>
  <c r="Z40" i="14"/>
  <c r="R40" i="14"/>
  <c r="J40" i="14"/>
  <c r="P40" i="14"/>
  <c r="W40" i="14"/>
  <c r="N40" i="14"/>
  <c r="AG40" i="14"/>
  <c r="Y40" i="14"/>
  <c r="Q40" i="14"/>
  <c r="I40" i="14"/>
  <c r="X40" i="14"/>
  <c r="AE37" i="14"/>
  <c r="W37" i="14"/>
  <c r="O37" i="14"/>
  <c r="G37" i="14"/>
  <c r="AC37" i="14"/>
  <c r="AB37" i="14"/>
  <c r="L37" i="14"/>
  <c r="AD37" i="14"/>
  <c r="V37" i="14"/>
  <c r="N37" i="14"/>
  <c r="F37" i="14"/>
  <c r="U37" i="14"/>
  <c r="M37" i="14"/>
  <c r="T37" i="14"/>
  <c r="AA37" i="14"/>
  <c r="S37" i="14"/>
  <c r="K37" i="14"/>
  <c r="Y37" i="14"/>
  <c r="AF37" i="14"/>
  <c r="P37" i="14"/>
  <c r="AH37" i="14"/>
  <c r="Z37" i="14"/>
  <c r="R37" i="14"/>
  <c r="J37" i="14"/>
  <c r="AG37" i="14"/>
  <c r="Q37" i="14"/>
  <c r="I37" i="14"/>
  <c r="X37" i="14"/>
  <c r="H37" i="14"/>
  <c r="AF34" i="14"/>
  <c r="X34" i="14"/>
  <c r="P34" i="14"/>
  <c r="H34" i="14"/>
  <c r="AE34" i="14"/>
  <c r="W34" i="14"/>
  <c r="O34" i="14"/>
  <c r="G34" i="14"/>
  <c r="AG34" i="14"/>
  <c r="AD34" i="14"/>
  <c r="V34" i="14"/>
  <c r="N34" i="14"/>
  <c r="F34" i="14"/>
  <c r="AC34" i="14"/>
  <c r="U34" i="14"/>
  <c r="M34" i="14"/>
  <c r="I34" i="14"/>
  <c r="AB34" i="14"/>
  <c r="T34" i="14"/>
  <c r="L34" i="14"/>
  <c r="Z34" i="14"/>
  <c r="J34" i="14"/>
  <c r="Y34" i="14"/>
  <c r="AA34" i="14"/>
  <c r="S34" i="14"/>
  <c r="K34" i="14"/>
  <c r="AH34" i="14"/>
  <c r="R34" i="14"/>
  <c r="Q34" i="14"/>
  <c r="AF31" i="14"/>
  <c r="X31" i="14"/>
  <c r="P31" i="14"/>
  <c r="H31" i="14"/>
  <c r="AE31" i="14"/>
  <c r="W31" i="14"/>
  <c r="O31" i="14"/>
  <c r="G31" i="14"/>
  <c r="AG31" i="14"/>
  <c r="I31" i="14"/>
  <c r="AD31" i="14"/>
  <c r="V31" i="14"/>
  <c r="N31" i="14"/>
  <c r="F31" i="14"/>
  <c r="AC31" i="14"/>
  <c r="U31" i="14"/>
  <c r="M31" i="14"/>
  <c r="Y31" i="14"/>
  <c r="AB31" i="14"/>
  <c r="T31" i="14"/>
  <c r="L31" i="14"/>
  <c r="AH31" i="14"/>
  <c r="J31" i="14"/>
  <c r="AA31" i="14"/>
  <c r="S31" i="14"/>
  <c r="K31" i="14"/>
  <c r="Z31" i="14"/>
  <c r="R31" i="14"/>
  <c r="Q31" i="14"/>
  <c r="D5" i="29"/>
  <c r="E5" i="29" s="1"/>
  <c r="F5" i="29" s="1"/>
  <c r="G5" i="29" s="1"/>
  <c r="H5" i="29" s="1"/>
  <c r="I5" i="29" s="1"/>
  <c r="J5" i="29" s="1"/>
  <c r="K5" i="29" s="1"/>
  <c r="L5" i="29" s="1"/>
  <c r="M5" i="29" s="1"/>
  <c r="N5" i="29" s="1"/>
  <c r="O5" i="29" s="1"/>
  <c r="P5" i="29" s="1"/>
  <c r="Q5" i="29" s="1"/>
  <c r="R5" i="29" s="1"/>
  <c r="S5" i="29" s="1"/>
  <c r="T5" i="29" s="1"/>
  <c r="U5" i="29" s="1"/>
  <c r="V5" i="29" s="1"/>
  <c r="W5" i="29" s="1"/>
  <c r="X5" i="29" s="1"/>
  <c r="Y5" i="29" s="1"/>
  <c r="Z5" i="29" s="1"/>
  <c r="AA5" i="29" s="1"/>
  <c r="AB5" i="29" s="1"/>
  <c r="AC5" i="29" s="1"/>
  <c r="AD5" i="29" s="1"/>
  <c r="AE5" i="29" s="1"/>
  <c r="AF5" i="29" s="1"/>
  <c r="AG5" i="29" s="1"/>
  <c r="AH5" i="29" s="1"/>
  <c r="D3" i="29"/>
  <c r="E3" i="29" s="1"/>
  <c r="F3" i="29" s="1"/>
  <c r="G3" i="29" s="1"/>
  <c r="H3" i="29" s="1"/>
  <c r="I3" i="29" s="1"/>
  <c r="J3" i="29" s="1"/>
  <c r="K3" i="29" s="1"/>
  <c r="L3" i="29" s="1"/>
  <c r="M3" i="29" s="1"/>
  <c r="N3" i="29" s="1"/>
  <c r="O3" i="29" s="1"/>
  <c r="P3" i="29" s="1"/>
  <c r="Q3" i="29" s="1"/>
  <c r="R3" i="29" s="1"/>
  <c r="S3" i="29" s="1"/>
  <c r="T3" i="29" s="1"/>
  <c r="U3" i="29" s="1"/>
  <c r="V3" i="29" s="1"/>
  <c r="W3" i="29" s="1"/>
  <c r="X3" i="29" s="1"/>
  <c r="Y3" i="29" s="1"/>
  <c r="Z3" i="29" s="1"/>
  <c r="AA3" i="29" s="1"/>
  <c r="AB3" i="29" s="1"/>
  <c r="AC3" i="29" s="1"/>
  <c r="AD3" i="29" s="1"/>
  <c r="AE3" i="29" s="1"/>
  <c r="AF3" i="29" s="1"/>
  <c r="AG3" i="29" s="1"/>
  <c r="AH3" i="29" s="1"/>
  <c r="B108" i="51"/>
  <c r="B114" i="51"/>
  <c r="B111" i="51"/>
  <c r="B113" i="51" s="1"/>
  <c r="B97" i="51" l="1"/>
  <c r="C97" i="51"/>
  <c r="B98" i="51"/>
  <c r="C98" i="51"/>
  <c r="B99" i="51"/>
  <c r="C99" i="51"/>
  <c r="B100" i="51"/>
  <c r="C100" i="51"/>
  <c r="B101" i="51"/>
  <c r="C101" i="51"/>
  <c r="B102" i="51"/>
  <c r="C102" i="51"/>
  <c r="C96" i="51"/>
  <c r="B96" i="51"/>
  <c r="C103" i="51" l="1"/>
  <c r="C81" i="51" s="1"/>
  <c r="B103" i="51"/>
  <c r="B82" i="51" s="1"/>
  <c r="AA67" i="51"/>
  <c r="AB67" i="51"/>
  <c r="AC67" i="51"/>
  <c r="AD67" i="51"/>
  <c r="AE67" i="51"/>
  <c r="AF67" i="51"/>
  <c r="AG67" i="51"/>
  <c r="AH67" i="51"/>
  <c r="AI67" i="51"/>
  <c r="AJ67" i="51"/>
  <c r="AK67" i="51"/>
  <c r="AA68" i="51"/>
  <c r="AB68" i="51"/>
  <c r="AC68" i="51"/>
  <c r="AD68" i="51"/>
  <c r="AE68" i="51"/>
  <c r="AF68" i="51"/>
  <c r="AG68" i="51"/>
  <c r="AH68" i="51"/>
  <c r="AI68" i="51"/>
  <c r="AJ68" i="51"/>
  <c r="AK68" i="51"/>
  <c r="AB66" i="51"/>
  <c r="AC66" i="51"/>
  <c r="AD66" i="51"/>
  <c r="AE66" i="51"/>
  <c r="AF66" i="51"/>
  <c r="AG66" i="51"/>
  <c r="AH66" i="51"/>
  <c r="AI66" i="51"/>
  <c r="AJ66" i="51"/>
  <c r="AK66" i="51"/>
  <c r="AA66" i="51"/>
  <c r="AK49" i="51"/>
  <c r="AJ49" i="51"/>
  <c r="AI49" i="51"/>
  <c r="AH49" i="51"/>
  <c r="AG49" i="51"/>
  <c r="AF49" i="51"/>
  <c r="AE49" i="51"/>
  <c r="AD49" i="51"/>
  <c r="AC49" i="51"/>
  <c r="AB49" i="51"/>
  <c r="AA49" i="51"/>
  <c r="AK48" i="51"/>
  <c r="AJ48" i="51"/>
  <c r="AI48" i="51"/>
  <c r="AH48" i="51"/>
  <c r="AG48" i="51"/>
  <c r="AF48" i="51"/>
  <c r="AE48" i="51"/>
  <c r="AD48" i="51"/>
  <c r="AC48" i="51"/>
  <c r="AB48" i="51"/>
  <c r="AA48" i="51"/>
  <c r="AK47" i="51"/>
  <c r="AJ47" i="51"/>
  <c r="AI47" i="51"/>
  <c r="AH47" i="51"/>
  <c r="AG47" i="51"/>
  <c r="AF47" i="51"/>
  <c r="AE47" i="51"/>
  <c r="AD47" i="51"/>
  <c r="AC47" i="51"/>
  <c r="AB47" i="51"/>
  <c r="AA47" i="51"/>
  <c r="AK46" i="51"/>
  <c r="AJ46" i="51"/>
  <c r="AI46" i="51"/>
  <c r="AH46" i="51"/>
  <c r="AG46" i="51"/>
  <c r="AF46" i="51"/>
  <c r="AE46" i="51"/>
  <c r="AD46" i="51"/>
  <c r="AC46" i="51"/>
  <c r="AB46" i="51"/>
  <c r="AA46" i="51"/>
  <c r="AG50" i="51" l="1"/>
  <c r="AT49" i="51" s="1"/>
  <c r="C83" i="51"/>
  <c r="C80" i="51"/>
  <c r="C78" i="51"/>
  <c r="AJ50" i="51"/>
  <c r="AW49" i="51" s="1"/>
  <c r="C82" i="51"/>
  <c r="AB50" i="51"/>
  <c r="AO49" i="51" s="1"/>
  <c r="AC50" i="51"/>
  <c r="AP48" i="51" s="1"/>
  <c r="AK50" i="51"/>
  <c r="AX49" i="51" s="1"/>
  <c r="C79" i="51"/>
  <c r="AF50" i="51"/>
  <c r="AS49" i="51" s="1"/>
  <c r="AH50" i="51"/>
  <c r="AU49" i="51" s="1"/>
  <c r="AA50" i="51"/>
  <c r="AN49" i="51" s="1"/>
  <c r="AI50" i="51"/>
  <c r="AV46" i="51" s="1"/>
  <c r="AV50" i="51" s="1"/>
  <c r="AD50" i="51"/>
  <c r="AQ49" i="51" s="1"/>
  <c r="AE50" i="51"/>
  <c r="AR49" i="51" s="1"/>
  <c r="B78" i="51"/>
  <c r="B83" i="51"/>
  <c r="B79" i="51"/>
  <c r="B80" i="51"/>
  <c r="B81" i="51"/>
  <c r="AD70" i="51"/>
  <c r="AQ66" i="51" s="1"/>
  <c r="AQ70" i="51" s="1"/>
  <c r="AE70" i="51"/>
  <c r="AR68" i="51" s="1"/>
  <c r="AF70" i="51"/>
  <c r="AS68" i="51" s="1"/>
  <c r="AI70" i="51"/>
  <c r="AV66" i="51" s="1"/>
  <c r="AV70" i="51" s="1"/>
  <c r="AB70" i="51"/>
  <c r="AO68" i="51" s="1"/>
  <c r="AJ70" i="51"/>
  <c r="AW68" i="51" s="1"/>
  <c r="AG70" i="51"/>
  <c r="AT68" i="51" s="1"/>
  <c r="AH70" i="51"/>
  <c r="AU67" i="51" s="1"/>
  <c r="AA70" i="51"/>
  <c r="AN66" i="51" s="1"/>
  <c r="AN70" i="51" s="1"/>
  <c r="AC70" i="51"/>
  <c r="AP67" i="51" s="1"/>
  <c r="AK70" i="51"/>
  <c r="AX67" i="51" s="1"/>
  <c r="AV49" i="51" l="1"/>
  <c r="AN48" i="51"/>
  <c r="AR67" i="51"/>
  <c r="AT47" i="51"/>
  <c r="AO46" i="51"/>
  <c r="AO50" i="51" s="1"/>
  <c r="AW46" i="51"/>
  <c r="AW50" i="51" s="1"/>
  <c r="AP49" i="51"/>
  <c r="C84" i="51"/>
  <c r="AS47" i="51"/>
  <c r="AN67" i="51"/>
  <c r="AX68" i="51"/>
  <c r="AR66" i="51"/>
  <c r="AR70" i="51" s="1"/>
  <c r="AT67" i="51"/>
  <c r="AU68" i="51"/>
  <c r="AN68" i="51"/>
  <c r="AS66" i="51"/>
  <c r="AS70" i="51" s="1"/>
  <c r="AU66" i="51"/>
  <c r="AU70" i="51" s="1"/>
  <c r="AQ68" i="51"/>
  <c r="AO67" i="51"/>
  <c r="AO66" i="51"/>
  <c r="AO70" i="51" s="1"/>
  <c r="AQ67" i="51"/>
  <c r="AW67" i="51"/>
  <c r="AT66" i="51"/>
  <c r="AT70" i="51" s="1"/>
  <c r="AS67" i="51"/>
  <c r="AW66" i="51"/>
  <c r="AW70" i="51" s="1"/>
  <c r="AV68" i="51"/>
  <c r="AP68" i="51"/>
  <c r="B84" i="51"/>
  <c r="AP66" i="51"/>
  <c r="AP70" i="51" s="1"/>
  <c r="AV67" i="51"/>
  <c r="AX66" i="51"/>
  <c r="AX70" i="51" s="1"/>
  <c r="AT46" i="51"/>
  <c r="AT50" i="51" s="1"/>
  <c r="AT48" i="51"/>
  <c r="AS46" i="51"/>
  <c r="AS50" i="51" s="1"/>
  <c r="AX46" i="51"/>
  <c r="AX50" i="51" s="1"/>
  <c r="AX47" i="51"/>
  <c r="AV47" i="51"/>
  <c r="AV48" i="51"/>
  <c r="AS48" i="51"/>
  <c r="AU47" i="51"/>
  <c r="AU48" i="51"/>
  <c r="AU46" i="51"/>
  <c r="AU50" i="51" s="1"/>
  <c r="AQ48" i="51"/>
  <c r="AQ47" i="51"/>
  <c r="AO47" i="51"/>
  <c r="AO48" i="51"/>
  <c r="AR48" i="51"/>
  <c r="AR46" i="51"/>
  <c r="AR50" i="51" s="1"/>
  <c r="AR47" i="51"/>
  <c r="AQ46" i="51"/>
  <c r="AQ50" i="51" s="1"/>
  <c r="AW47" i="51"/>
  <c r="AW48" i="51"/>
  <c r="AP47" i="51"/>
  <c r="AP46" i="51"/>
  <c r="AP50" i="51" s="1"/>
  <c r="AX48" i="51"/>
  <c r="AN47" i="51"/>
  <c r="AN46" i="51"/>
  <c r="AN50" i="51" s="1"/>
  <c r="D564" i="29" l="1"/>
  <c r="D565" i="29"/>
  <c r="D241" i="14" l="1"/>
  <c r="E241"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AD241" i="14"/>
  <c r="AE241" i="14"/>
  <c r="AF241" i="14"/>
  <c r="AG241" i="14"/>
  <c r="D135" i="14" l="1"/>
  <c r="F79" i="26"/>
  <c r="F17" i="31" s="1"/>
  <c r="F20" i="31" s="1"/>
  <c r="F76" i="26"/>
  <c r="F13" i="31" s="1"/>
  <c r="F73" i="26"/>
  <c r="F67" i="26"/>
  <c r="F69" i="31" s="1"/>
  <c r="F45" i="31"/>
  <c r="F59" i="26"/>
  <c r="F41" i="31" s="1"/>
  <c r="F48" i="31" l="1"/>
  <c r="D230" i="29"/>
  <c r="F44" i="31"/>
  <c r="D185" i="29"/>
  <c r="F72" i="31"/>
  <c r="D289" i="29"/>
  <c r="F16" i="31"/>
  <c r="R94" i="29"/>
  <c r="AB94" i="29"/>
  <c r="I94" i="29"/>
  <c r="AG94" i="29"/>
  <c r="W94" i="29"/>
  <c r="X94" i="29"/>
  <c r="AD94" i="29"/>
  <c r="O94" i="29"/>
  <c r="E94" i="29"/>
  <c r="N94" i="29"/>
  <c r="J94" i="29"/>
  <c r="Z94" i="29"/>
  <c r="AE94" i="29"/>
  <c r="F94" i="29"/>
  <c r="AA94" i="29"/>
  <c r="L94" i="29"/>
  <c r="T94" i="29"/>
  <c r="Y94" i="29"/>
  <c r="H94" i="29"/>
  <c r="P94" i="29"/>
  <c r="Q94" i="29"/>
  <c r="S94" i="29"/>
  <c r="AF94" i="29"/>
  <c r="V94" i="29"/>
  <c r="M94" i="29"/>
  <c r="AC94" i="29"/>
  <c r="AH94" i="29"/>
  <c r="G94" i="29"/>
  <c r="K94" i="29"/>
  <c r="U94" i="29"/>
  <c r="F9" i="31"/>
  <c r="F88" i="31"/>
  <c r="F37" i="31"/>
  <c r="F93" i="31"/>
  <c r="F96" i="31" s="1"/>
  <c r="C137" i="52"/>
  <c r="C130" i="52"/>
  <c r="X130" i="52" s="1"/>
  <c r="C135" i="52"/>
  <c r="X135" i="52" s="1"/>
  <c r="C134" i="52"/>
  <c r="X134" i="52" s="1"/>
  <c r="C133" i="52"/>
  <c r="X133" i="52" s="1"/>
  <c r="C132" i="52"/>
  <c r="X132" i="52" s="1"/>
  <c r="C131" i="52"/>
  <c r="X131" i="52" s="1"/>
  <c r="T97" i="29" l="1"/>
  <c r="T98" i="29"/>
  <c r="T96" i="29"/>
  <c r="T95" i="29"/>
  <c r="T105" i="29"/>
  <c r="T101" i="29"/>
  <c r="T102" i="29"/>
  <c r="T103" i="29"/>
  <c r="T106" i="29"/>
  <c r="T104" i="29"/>
  <c r="T100" i="29"/>
  <c r="T99" i="29"/>
  <c r="R97" i="29"/>
  <c r="R98" i="29"/>
  <c r="R96" i="29"/>
  <c r="R95" i="29"/>
  <c r="R105" i="29"/>
  <c r="R103" i="29"/>
  <c r="R102" i="29"/>
  <c r="R101" i="29"/>
  <c r="R104" i="29"/>
  <c r="R106" i="29"/>
  <c r="R100" i="29"/>
  <c r="R99" i="29"/>
  <c r="L95" i="29"/>
  <c r="L97" i="29"/>
  <c r="L98" i="29"/>
  <c r="L96" i="29"/>
  <c r="L105" i="29"/>
  <c r="L100" i="29"/>
  <c r="L106" i="29"/>
  <c r="L102" i="29"/>
  <c r="L103" i="29"/>
  <c r="L104" i="29"/>
  <c r="L101" i="29"/>
  <c r="L99" i="29"/>
  <c r="J49" i="29"/>
  <c r="Y49" i="29"/>
  <c r="I49" i="29"/>
  <c r="E49" i="29"/>
  <c r="L49" i="29"/>
  <c r="R49" i="29"/>
  <c r="X49" i="29"/>
  <c r="AG49" i="29"/>
  <c r="M49" i="29"/>
  <c r="AD49" i="29"/>
  <c r="Z49" i="29"/>
  <c r="N49" i="29"/>
  <c r="V49" i="29"/>
  <c r="T49" i="29"/>
  <c r="O49" i="29"/>
  <c r="Q49" i="29"/>
  <c r="P49" i="29"/>
  <c r="S49" i="29"/>
  <c r="K49" i="29"/>
  <c r="AE49" i="29"/>
  <c r="H49" i="29"/>
  <c r="AB49" i="29"/>
  <c r="AF49" i="29"/>
  <c r="G49" i="29"/>
  <c r="W49" i="29"/>
  <c r="AC49" i="29"/>
  <c r="F49" i="29"/>
  <c r="U49" i="29"/>
  <c r="AA49" i="29"/>
  <c r="AH49" i="29"/>
  <c r="AF98" i="29"/>
  <c r="AF97" i="29"/>
  <c r="AF96" i="29"/>
  <c r="AF95" i="29"/>
  <c r="AF105" i="29"/>
  <c r="AF101" i="29"/>
  <c r="AF100" i="29"/>
  <c r="AF106" i="29"/>
  <c r="AF102" i="29"/>
  <c r="AF104" i="29"/>
  <c r="AF103" i="29"/>
  <c r="AF99" i="29"/>
  <c r="AA95" i="29"/>
  <c r="AA96" i="29"/>
  <c r="AA98" i="29"/>
  <c r="AA97" i="29"/>
  <c r="AA105" i="29"/>
  <c r="AA100" i="29"/>
  <c r="AA106" i="29"/>
  <c r="AA102" i="29"/>
  <c r="AA103" i="29"/>
  <c r="AA104" i="29"/>
  <c r="AA101" i="29"/>
  <c r="AA99" i="29"/>
  <c r="AD95" i="29"/>
  <c r="AD98" i="29"/>
  <c r="AD97" i="29"/>
  <c r="AD96" i="29"/>
  <c r="AD105" i="29"/>
  <c r="AD103" i="29"/>
  <c r="AD100" i="29"/>
  <c r="AD102" i="29"/>
  <c r="AD104" i="29"/>
  <c r="AD106" i="29"/>
  <c r="AD101" i="29"/>
  <c r="AD99" i="29"/>
  <c r="D293" i="29"/>
  <c r="D292" i="29"/>
  <c r="D290" i="29"/>
  <c r="D291" i="29"/>
  <c r="D299" i="29"/>
  <c r="D296" i="29"/>
  <c r="D300" i="29"/>
  <c r="D298" i="29"/>
  <c r="D301" i="29"/>
  <c r="D297" i="29"/>
  <c r="D295" i="29"/>
  <c r="D294" i="29"/>
  <c r="S96" i="29"/>
  <c r="S97" i="29"/>
  <c r="S98" i="29"/>
  <c r="S95" i="29"/>
  <c r="S105" i="29"/>
  <c r="S106" i="29"/>
  <c r="S101" i="29"/>
  <c r="S103" i="29"/>
  <c r="S102" i="29"/>
  <c r="S104" i="29"/>
  <c r="S100" i="29"/>
  <c r="S99" i="29"/>
  <c r="X97" i="29"/>
  <c r="X96" i="29"/>
  <c r="X95" i="29"/>
  <c r="X98" i="29"/>
  <c r="X105" i="29"/>
  <c r="X101" i="29"/>
  <c r="X103" i="29"/>
  <c r="X104" i="29"/>
  <c r="X106" i="29"/>
  <c r="X102" i="29"/>
  <c r="X100" i="29"/>
  <c r="X99" i="29"/>
  <c r="F40" i="31"/>
  <c r="D140" i="29"/>
  <c r="E96" i="29"/>
  <c r="E95" i="29"/>
  <c r="E97" i="29"/>
  <c r="E98" i="29"/>
  <c r="E105" i="29"/>
  <c r="E102" i="29"/>
  <c r="E104" i="29"/>
  <c r="E101" i="29"/>
  <c r="E103" i="29"/>
  <c r="E100" i="29"/>
  <c r="E106" i="29"/>
  <c r="E99" i="29"/>
  <c r="V98" i="29"/>
  <c r="V95" i="29"/>
  <c r="V97" i="29"/>
  <c r="V96" i="29"/>
  <c r="V105" i="29"/>
  <c r="V102" i="29"/>
  <c r="V100" i="29"/>
  <c r="V104" i="29"/>
  <c r="V101" i="29"/>
  <c r="V106" i="29"/>
  <c r="V103" i="29"/>
  <c r="V99" i="29"/>
  <c r="U95" i="29"/>
  <c r="U96" i="29"/>
  <c r="U98" i="29"/>
  <c r="U97" i="29"/>
  <c r="U105" i="29"/>
  <c r="U101" i="29"/>
  <c r="U104" i="29"/>
  <c r="U106" i="29"/>
  <c r="U102" i="29"/>
  <c r="U103" i="29"/>
  <c r="U100" i="29"/>
  <c r="U99" i="29"/>
  <c r="F96" i="29"/>
  <c r="F98" i="29"/>
  <c r="F97" i="29"/>
  <c r="F95" i="29"/>
  <c r="F105" i="29"/>
  <c r="F104" i="29"/>
  <c r="F100" i="29"/>
  <c r="F106" i="29"/>
  <c r="F101" i="29"/>
  <c r="F103" i="29"/>
  <c r="F102" i="29"/>
  <c r="F99" i="29"/>
  <c r="K97" i="29"/>
  <c r="K98" i="29"/>
  <c r="K95" i="29"/>
  <c r="K96" i="29"/>
  <c r="K105" i="29"/>
  <c r="K106" i="29"/>
  <c r="K102" i="29"/>
  <c r="K101" i="29"/>
  <c r="K104" i="29"/>
  <c r="K100" i="29"/>
  <c r="K103" i="29"/>
  <c r="K99" i="29"/>
  <c r="D186" i="29"/>
  <c r="D187" i="29"/>
  <c r="D433" i="29"/>
  <c r="D188" i="29"/>
  <c r="D189" i="29"/>
  <c r="D196" i="29"/>
  <c r="D195" i="29"/>
  <c r="D443" i="29" s="1"/>
  <c r="D193" i="29"/>
  <c r="D441" i="29" s="1"/>
  <c r="D197" i="29"/>
  <c r="D194" i="29"/>
  <c r="D190" i="29"/>
  <c r="D192" i="29"/>
  <c r="D440" i="29" s="1"/>
  <c r="D191" i="29"/>
  <c r="AG97" i="29"/>
  <c r="AG98" i="29"/>
  <c r="AG96" i="29"/>
  <c r="AG95" i="29"/>
  <c r="AG105" i="29"/>
  <c r="AG106" i="29"/>
  <c r="AG103" i="29"/>
  <c r="AG102" i="29"/>
  <c r="AG101" i="29"/>
  <c r="AG104" i="29"/>
  <c r="AG100" i="29"/>
  <c r="AG99" i="29"/>
  <c r="M98" i="29"/>
  <c r="M96" i="29"/>
  <c r="M95" i="29"/>
  <c r="M97" i="29"/>
  <c r="M105" i="29"/>
  <c r="M100" i="29"/>
  <c r="M102" i="29"/>
  <c r="M103" i="29"/>
  <c r="M104" i="29"/>
  <c r="M106" i="29"/>
  <c r="M101" i="29"/>
  <c r="M99" i="29"/>
  <c r="O95" i="29"/>
  <c r="O96" i="29"/>
  <c r="O97" i="29"/>
  <c r="O98" i="29"/>
  <c r="O105" i="29"/>
  <c r="O101" i="29"/>
  <c r="O104" i="29"/>
  <c r="O106" i="29"/>
  <c r="O103" i="29"/>
  <c r="O100" i="29"/>
  <c r="O102" i="29"/>
  <c r="O99" i="29"/>
  <c r="Q95" i="29"/>
  <c r="Q97" i="29"/>
  <c r="Q98" i="29"/>
  <c r="Q96" i="29"/>
  <c r="Q105" i="29"/>
  <c r="Q103" i="29"/>
  <c r="Q100" i="29"/>
  <c r="Q106" i="29"/>
  <c r="Q104" i="29"/>
  <c r="Q102" i="29"/>
  <c r="Q101" i="29"/>
  <c r="Q99" i="29"/>
  <c r="AE95" i="29"/>
  <c r="AE96" i="29"/>
  <c r="AE97" i="29"/>
  <c r="AE98" i="29"/>
  <c r="AE105" i="29"/>
  <c r="AE103" i="29"/>
  <c r="AE102" i="29"/>
  <c r="AE100" i="29"/>
  <c r="AE101" i="29"/>
  <c r="AE104" i="29"/>
  <c r="AE106" i="29"/>
  <c r="AE99" i="29"/>
  <c r="W96" i="29"/>
  <c r="W98" i="29"/>
  <c r="W95" i="29"/>
  <c r="W97" i="29"/>
  <c r="W105" i="29"/>
  <c r="W102" i="29"/>
  <c r="W103" i="29"/>
  <c r="W106" i="29"/>
  <c r="W100" i="29"/>
  <c r="W101" i="29"/>
  <c r="W104" i="29"/>
  <c r="W99" i="29"/>
  <c r="G95" i="29"/>
  <c r="G98" i="29"/>
  <c r="G97" i="29"/>
  <c r="G96" i="29"/>
  <c r="G105" i="29"/>
  <c r="G101" i="29"/>
  <c r="G102" i="29"/>
  <c r="G103" i="29"/>
  <c r="G104" i="29"/>
  <c r="G100" i="29"/>
  <c r="G106" i="29"/>
  <c r="G99" i="29"/>
  <c r="P95" i="29"/>
  <c r="P98" i="29"/>
  <c r="P97" i="29"/>
  <c r="P96" i="29"/>
  <c r="P105" i="29"/>
  <c r="P104" i="29"/>
  <c r="P103" i="29"/>
  <c r="P100" i="29"/>
  <c r="P106" i="29"/>
  <c r="P101" i="29"/>
  <c r="P102" i="29"/>
  <c r="P99" i="29"/>
  <c r="Z97" i="29"/>
  <c r="Z96" i="29"/>
  <c r="Z95" i="29"/>
  <c r="Z98" i="29"/>
  <c r="Z105" i="29"/>
  <c r="Z102" i="29"/>
  <c r="Z103" i="29"/>
  <c r="Z100" i="29"/>
  <c r="Z106" i="29"/>
  <c r="Z104" i="29"/>
  <c r="Z101" i="29"/>
  <c r="Z99" i="29"/>
  <c r="AH96" i="29"/>
  <c r="AH98" i="29"/>
  <c r="AH97" i="29"/>
  <c r="AH95" i="29"/>
  <c r="AH105" i="29"/>
  <c r="AH102" i="29"/>
  <c r="AH103" i="29"/>
  <c r="AH100" i="29"/>
  <c r="AH104" i="29"/>
  <c r="AH101" i="29"/>
  <c r="AH106" i="29"/>
  <c r="AH99" i="29"/>
  <c r="H98" i="29"/>
  <c r="H97" i="29"/>
  <c r="H96" i="29"/>
  <c r="H95" i="29"/>
  <c r="H105" i="29"/>
  <c r="H101" i="29"/>
  <c r="H104" i="29"/>
  <c r="H102" i="29"/>
  <c r="H103" i="29"/>
  <c r="H100" i="29"/>
  <c r="H106" i="29"/>
  <c r="H99" i="29"/>
  <c r="J98" i="29"/>
  <c r="J95" i="29"/>
  <c r="J97" i="29"/>
  <c r="J96" i="29"/>
  <c r="J105" i="29"/>
  <c r="J101" i="29"/>
  <c r="J106" i="29"/>
  <c r="J100" i="29"/>
  <c r="J103" i="29"/>
  <c r="J102" i="29"/>
  <c r="J104" i="29"/>
  <c r="J99" i="29"/>
  <c r="I95" i="29"/>
  <c r="I97" i="29"/>
  <c r="I98" i="29"/>
  <c r="I96" i="29"/>
  <c r="I105" i="29"/>
  <c r="I103" i="29"/>
  <c r="I101" i="29"/>
  <c r="I100" i="29"/>
  <c r="I104" i="29"/>
  <c r="I106" i="29"/>
  <c r="I102" i="29"/>
  <c r="I99" i="29"/>
  <c r="D234" i="29"/>
  <c r="D232" i="29"/>
  <c r="D233" i="29"/>
  <c r="D231" i="29"/>
  <c r="D237" i="29"/>
  <c r="D238" i="29"/>
  <c r="D236" i="29"/>
  <c r="D242" i="29"/>
  <c r="D240" i="29"/>
  <c r="D239" i="29"/>
  <c r="D241" i="29"/>
  <c r="D235" i="29"/>
  <c r="AC97" i="29"/>
  <c r="AC96" i="29"/>
  <c r="AC98" i="29"/>
  <c r="AC95" i="29"/>
  <c r="AC105" i="29"/>
  <c r="AC101" i="29"/>
  <c r="AC104" i="29"/>
  <c r="AC103" i="29"/>
  <c r="AC106" i="29"/>
  <c r="AC100" i="29"/>
  <c r="AC102" i="29"/>
  <c r="AC99" i="29"/>
  <c r="Y97" i="29"/>
  <c r="Y98" i="29"/>
  <c r="Y95" i="29"/>
  <c r="Y96" i="29"/>
  <c r="Y105" i="29"/>
  <c r="Y106" i="29"/>
  <c r="Y100" i="29"/>
  <c r="Y104" i="29"/>
  <c r="Y101" i="29"/>
  <c r="Y102" i="29"/>
  <c r="Y103" i="29"/>
  <c r="Y99" i="29"/>
  <c r="N96" i="29"/>
  <c r="N97" i="29"/>
  <c r="N95" i="29"/>
  <c r="N98" i="29"/>
  <c r="N105" i="29"/>
  <c r="N104" i="29"/>
  <c r="N101" i="29"/>
  <c r="N102" i="29"/>
  <c r="N103" i="29"/>
  <c r="N106" i="29"/>
  <c r="N100" i="29"/>
  <c r="N99" i="29"/>
  <c r="AB95" i="29"/>
  <c r="AB97" i="29"/>
  <c r="AB98" i="29"/>
  <c r="AB96" i="29"/>
  <c r="AB105" i="29"/>
  <c r="AB103" i="29"/>
  <c r="AB100" i="29"/>
  <c r="AB106" i="29"/>
  <c r="AB102" i="29"/>
  <c r="AB104" i="29"/>
  <c r="AB101" i="29"/>
  <c r="AB99" i="29"/>
  <c r="C205" i="52"/>
  <c r="D205" i="52"/>
  <c r="Y196" i="52" s="1"/>
  <c r="K135" i="29" l="1"/>
  <c r="K136" i="29" s="1"/>
  <c r="N135" i="29"/>
  <c r="N136" i="29" s="1"/>
  <c r="AC135" i="29"/>
  <c r="AC136" i="29" s="1"/>
  <c r="I135" i="29"/>
  <c r="I136" i="29" s="1"/>
  <c r="H135" i="29"/>
  <c r="H136" i="29" s="1"/>
  <c r="Z135" i="29"/>
  <c r="Z136" i="29" s="1"/>
  <c r="G135" i="29"/>
  <c r="G136" i="29" s="1"/>
  <c r="AE135" i="29"/>
  <c r="AE136" i="29" s="1"/>
  <c r="O135" i="29"/>
  <c r="O136" i="29" s="1"/>
  <c r="AG135" i="29"/>
  <c r="AG136" i="29" s="1"/>
  <c r="U135" i="29"/>
  <c r="U136" i="29" s="1"/>
  <c r="E135" i="29"/>
  <c r="E136" i="29" s="1"/>
  <c r="R135" i="29"/>
  <c r="R136" i="29" s="1"/>
  <c r="D445" i="29"/>
  <c r="U397" i="29"/>
  <c r="U52" i="29"/>
  <c r="U400" i="29" s="1"/>
  <c r="U50" i="29"/>
  <c r="U399" i="29" s="1"/>
  <c r="U51" i="29"/>
  <c r="U398" i="29" s="1"/>
  <c r="U53" i="29"/>
  <c r="U401" i="29" s="1"/>
  <c r="U59" i="29"/>
  <c r="U407" i="29" s="1"/>
  <c r="U61" i="29"/>
  <c r="U409" i="29" s="1"/>
  <c r="U56" i="29"/>
  <c r="U404" i="29" s="1"/>
  <c r="U57" i="29"/>
  <c r="U405" i="29" s="1"/>
  <c r="U60" i="29"/>
  <c r="U408" i="29" s="1"/>
  <c r="U55" i="29"/>
  <c r="U403" i="29" s="1"/>
  <c r="U531" i="29" s="1"/>
  <c r="U58" i="29"/>
  <c r="U406" i="29" s="1"/>
  <c r="U54" i="29"/>
  <c r="AE50" i="29"/>
  <c r="AE399" i="29" s="1"/>
  <c r="AE51" i="29"/>
  <c r="AE398" i="29" s="1"/>
  <c r="AE52" i="29"/>
  <c r="AE400" i="29" s="1"/>
  <c r="AE53" i="29"/>
  <c r="AE401" i="29" s="1"/>
  <c r="AE397" i="29"/>
  <c r="AE61" i="29"/>
  <c r="AE409" i="29" s="1"/>
  <c r="AE59" i="29"/>
  <c r="AE407" i="29" s="1"/>
  <c r="AE60" i="29"/>
  <c r="AE408" i="29" s="1"/>
  <c r="AE57" i="29"/>
  <c r="AE405" i="29" s="1"/>
  <c r="AE58" i="29"/>
  <c r="AE406" i="29" s="1"/>
  <c r="AE55" i="29"/>
  <c r="AE403" i="29" s="1"/>
  <c r="AE531" i="29" s="1"/>
  <c r="AE56" i="29"/>
  <c r="AE404" i="29" s="1"/>
  <c r="AE54" i="29"/>
  <c r="N50" i="29"/>
  <c r="N399" i="29" s="1"/>
  <c r="N51" i="29"/>
  <c r="N398" i="29" s="1"/>
  <c r="N52" i="29"/>
  <c r="N400" i="29" s="1"/>
  <c r="N53" i="29"/>
  <c r="N401" i="29" s="1"/>
  <c r="N397" i="29"/>
  <c r="N61" i="29"/>
  <c r="N409" i="29" s="1"/>
  <c r="N60" i="29"/>
  <c r="N408" i="29" s="1"/>
  <c r="N59" i="29"/>
  <c r="N407" i="29" s="1"/>
  <c r="N56" i="29"/>
  <c r="N404" i="29" s="1"/>
  <c r="N58" i="29"/>
  <c r="N406" i="29" s="1"/>
  <c r="N55" i="29"/>
  <c r="N403" i="29" s="1"/>
  <c r="N531" i="29" s="1"/>
  <c r="N57" i="29"/>
  <c r="N405" i="29" s="1"/>
  <c r="N54" i="29"/>
  <c r="E397" i="29"/>
  <c r="E50" i="29"/>
  <c r="E399" i="29" s="1"/>
  <c r="E51" i="29"/>
  <c r="E398" i="29" s="1"/>
  <c r="E53" i="29"/>
  <c r="E401" i="29" s="1"/>
  <c r="E52" i="29"/>
  <c r="E400" i="29" s="1"/>
  <c r="E58" i="29"/>
  <c r="E406" i="29" s="1"/>
  <c r="E59" i="29"/>
  <c r="E407" i="29" s="1"/>
  <c r="E61" i="29"/>
  <c r="E409" i="29" s="1"/>
  <c r="E57" i="29"/>
  <c r="E405" i="29" s="1"/>
  <c r="E56" i="29"/>
  <c r="E404" i="29" s="1"/>
  <c r="E55" i="29"/>
  <c r="E403" i="29" s="1"/>
  <c r="E531" i="29" s="1"/>
  <c r="E60" i="29"/>
  <c r="E408" i="29" s="1"/>
  <c r="E54" i="29"/>
  <c r="F50" i="29"/>
  <c r="F399" i="29" s="1"/>
  <c r="F52" i="29"/>
  <c r="F400" i="29" s="1"/>
  <c r="F51" i="29"/>
  <c r="F398" i="29" s="1"/>
  <c r="F397" i="29"/>
  <c r="F53" i="29"/>
  <c r="F401" i="29" s="1"/>
  <c r="F57" i="29"/>
  <c r="F405" i="29" s="1"/>
  <c r="F58" i="29"/>
  <c r="F406" i="29" s="1"/>
  <c r="F59" i="29"/>
  <c r="F407" i="29" s="1"/>
  <c r="F60" i="29"/>
  <c r="F408" i="29" s="1"/>
  <c r="F61" i="29"/>
  <c r="F409" i="29" s="1"/>
  <c r="F56" i="29"/>
  <c r="F404" i="29" s="1"/>
  <c r="F55" i="29"/>
  <c r="F403" i="29" s="1"/>
  <c r="F531" i="29" s="1"/>
  <c r="F54" i="29"/>
  <c r="K397" i="29"/>
  <c r="K51" i="29"/>
  <c r="K398" i="29" s="1"/>
  <c r="K53" i="29"/>
  <c r="K401" i="29" s="1"/>
  <c r="K50" i="29"/>
  <c r="K399" i="29" s="1"/>
  <c r="K52" i="29"/>
  <c r="K400" i="29" s="1"/>
  <c r="K55" i="29"/>
  <c r="K403" i="29" s="1"/>
  <c r="K531" i="29" s="1"/>
  <c r="K59" i="29"/>
  <c r="K407" i="29" s="1"/>
  <c r="K56" i="29"/>
  <c r="K404" i="29" s="1"/>
  <c r="K61" i="29"/>
  <c r="K409" i="29" s="1"/>
  <c r="K58" i="29"/>
  <c r="K406" i="29" s="1"/>
  <c r="K57" i="29"/>
  <c r="K405" i="29" s="1"/>
  <c r="K60" i="29"/>
  <c r="K408" i="29" s="1"/>
  <c r="K54" i="29"/>
  <c r="Z52" i="29"/>
  <c r="Z400" i="29" s="1"/>
  <c r="Z51" i="29"/>
  <c r="Z398" i="29" s="1"/>
  <c r="Z53" i="29"/>
  <c r="Z401" i="29" s="1"/>
  <c r="Z50" i="29"/>
  <c r="Z399" i="29" s="1"/>
  <c r="Z397" i="29"/>
  <c r="Z57" i="29"/>
  <c r="Z405" i="29" s="1"/>
  <c r="Z60" i="29"/>
  <c r="Z408" i="29" s="1"/>
  <c r="Z56" i="29"/>
  <c r="Z404" i="29" s="1"/>
  <c r="Z58" i="29"/>
  <c r="Z406" i="29" s="1"/>
  <c r="Z55" i="29"/>
  <c r="Z403" i="29" s="1"/>
  <c r="Z531" i="29" s="1"/>
  <c r="Z59" i="29"/>
  <c r="Z407" i="29" s="1"/>
  <c r="Z61" i="29"/>
  <c r="Z409" i="29" s="1"/>
  <c r="Z54" i="29"/>
  <c r="I50" i="29"/>
  <c r="I399" i="29" s="1"/>
  <c r="I53" i="29"/>
  <c r="I401" i="29" s="1"/>
  <c r="I51" i="29"/>
  <c r="I398" i="29" s="1"/>
  <c r="I397" i="29"/>
  <c r="I52" i="29"/>
  <c r="I400" i="29" s="1"/>
  <c r="I59" i="29"/>
  <c r="I407" i="29" s="1"/>
  <c r="I55" i="29"/>
  <c r="I403" i="29" s="1"/>
  <c r="I531" i="29" s="1"/>
  <c r="I61" i="29"/>
  <c r="I409" i="29" s="1"/>
  <c r="I58" i="29"/>
  <c r="I406" i="29" s="1"/>
  <c r="I60" i="29"/>
  <c r="I408" i="29" s="1"/>
  <c r="I57" i="29"/>
  <c r="I405" i="29" s="1"/>
  <c r="I56" i="29"/>
  <c r="I404" i="29" s="1"/>
  <c r="I54" i="29"/>
  <c r="D444" i="29"/>
  <c r="S135" i="29"/>
  <c r="S136" i="29" s="1"/>
  <c r="AD135" i="29"/>
  <c r="AD136" i="29" s="1"/>
  <c r="AF135" i="29"/>
  <c r="AF136" i="29" s="1"/>
  <c r="AC50" i="29"/>
  <c r="AC399" i="29" s="1"/>
  <c r="AC52" i="29"/>
  <c r="AC400" i="29" s="1"/>
  <c r="AC51" i="29"/>
  <c r="AC398" i="29" s="1"/>
  <c r="AC53" i="29"/>
  <c r="AC401" i="29" s="1"/>
  <c r="AC397" i="29"/>
  <c r="AC55" i="29"/>
  <c r="AC403" i="29" s="1"/>
  <c r="AC531" i="29" s="1"/>
  <c r="AC59" i="29"/>
  <c r="AC407" i="29" s="1"/>
  <c r="AC56" i="29"/>
  <c r="AC404" i="29" s="1"/>
  <c r="AC60" i="29"/>
  <c r="AC408" i="29" s="1"/>
  <c r="AC57" i="29"/>
  <c r="AC405" i="29" s="1"/>
  <c r="AC61" i="29"/>
  <c r="AC409" i="29" s="1"/>
  <c r="AC58" i="29"/>
  <c r="AC406" i="29" s="1"/>
  <c r="AC54" i="29"/>
  <c r="S53" i="29"/>
  <c r="S401" i="29" s="1"/>
  <c r="S50" i="29"/>
  <c r="S399" i="29" s="1"/>
  <c r="S51" i="29"/>
  <c r="S398" i="29" s="1"/>
  <c r="S397" i="29"/>
  <c r="S52" i="29"/>
  <c r="S400" i="29" s="1"/>
  <c r="S56" i="29"/>
  <c r="S404" i="29" s="1"/>
  <c r="S55" i="29"/>
  <c r="S403" i="29" s="1"/>
  <c r="S531" i="29" s="1"/>
  <c r="S57" i="29"/>
  <c r="S405" i="29" s="1"/>
  <c r="S60" i="29"/>
  <c r="S408" i="29" s="1"/>
  <c r="S58" i="29"/>
  <c r="S406" i="29" s="1"/>
  <c r="S59" i="29"/>
  <c r="S407" i="29" s="1"/>
  <c r="S61" i="29"/>
  <c r="S409" i="29" s="1"/>
  <c r="S54" i="29"/>
  <c r="AD50" i="29"/>
  <c r="AD399" i="29" s="1"/>
  <c r="AD51" i="29"/>
  <c r="AD398" i="29" s="1"/>
  <c r="AD397" i="29"/>
  <c r="AD53" i="29"/>
  <c r="AD401" i="29" s="1"/>
  <c r="AD52" i="29"/>
  <c r="AD400" i="29" s="1"/>
  <c r="AD59" i="29"/>
  <c r="AD407" i="29" s="1"/>
  <c r="AD57" i="29"/>
  <c r="AD405" i="29" s="1"/>
  <c r="AD55" i="29"/>
  <c r="AD403" i="29" s="1"/>
  <c r="AD531" i="29" s="1"/>
  <c r="AD56" i="29"/>
  <c r="AD404" i="29" s="1"/>
  <c r="AD60" i="29"/>
  <c r="AD408" i="29" s="1"/>
  <c r="AD58" i="29"/>
  <c r="AD406" i="29" s="1"/>
  <c r="AD61" i="29"/>
  <c r="AD409" i="29" s="1"/>
  <c r="AD54" i="29"/>
  <c r="Y50" i="29"/>
  <c r="Y399" i="29" s="1"/>
  <c r="Y52" i="29"/>
  <c r="Y400" i="29" s="1"/>
  <c r="Y53" i="29"/>
  <c r="Y401" i="29" s="1"/>
  <c r="Y51" i="29"/>
  <c r="Y398" i="29" s="1"/>
  <c r="Y397" i="29"/>
  <c r="Y59" i="29"/>
  <c r="Y407" i="29" s="1"/>
  <c r="Y55" i="29"/>
  <c r="Y403" i="29" s="1"/>
  <c r="Y531" i="29" s="1"/>
  <c r="Y60" i="29"/>
  <c r="Y408" i="29" s="1"/>
  <c r="Y58" i="29"/>
  <c r="Y406" i="29" s="1"/>
  <c r="Y57" i="29"/>
  <c r="Y405" i="29" s="1"/>
  <c r="Y56" i="29"/>
  <c r="Y404" i="29" s="1"/>
  <c r="Y61" i="29"/>
  <c r="Y409" i="29" s="1"/>
  <c r="Y54" i="29"/>
  <c r="AB135" i="29"/>
  <c r="AB136" i="29" s="1"/>
  <c r="J135" i="29"/>
  <c r="J136" i="29" s="1"/>
  <c r="AH135" i="29"/>
  <c r="AH136" i="29" s="1"/>
  <c r="P135" i="29"/>
  <c r="P136" i="29" s="1"/>
  <c r="W135" i="29"/>
  <c r="W136" i="29" s="1"/>
  <c r="Q135" i="29"/>
  <c r="Q136" i="29" s="1"/>
  <c r="M135" i="29"/>
  <c r="M136" i="29" s="1"/>
  <c r="D439" i="29"/>
  <c r="D437" i="29"/>
  <c r="W50" i="29"/>
  <c r="W399" i="29" s="1"/>
  <c r="W51" i="29"/>
  <c r="W398" i="29" s="1"/>
  <c r="W52" i="29"/>
  <c r="W400" i="29" s="1"/>
  <c r="W53" i="29"/>
  <c r="W401" i="29" s="1"/>
  <c r="W397" i="29"/>
  <c r="W55" i="29"/>
  <c r="W403" i="29" s="1"/>
  <c r="W531" i="29" s="1"/>
  <c r="W61" i="29"/>
  <c r="W409" i="29" s="1"/>
  <c r="W57" i="29"/>
  <c r="W405" i="29" s="1"/>
  <c r="W58" i="29"/>
  <c r="W406" i="29" s="1"/>
  <c r="W56" i="29"/>
  <c r="W404" i="29" s="1"/>
  <c r="W60" i="29"/>
  <c r="W408" i="29" s="1"/>
  <c r="W59" i="29"/>
  <c r="W407" i="29" s="1"/>
  <c r="W54" i="29"/>
  <c r="P50" i="29"/>
  <c r="P399" i="29" s="1"/>
  <c r="P52" i="29"/>
  <c r="P400" i="29" s="1"/>
  <c r="P397" i="29"/>
  <c r="P53" i="29"/>
  <c r="P401" i="29" s="1"/>
  <c r="P51" i="29"/>
  <c r="P398" i="29" s="1"/>
  <c r="P60" i="29"/>
  <c r="P408" i="29" s="1"/>
  <c r="P57" i="29"/>
  <c r="P405" i="29" s="1"/>
  <c r="P59" i="29"/>
  <c r="P407" i="29" s="1"/>
  <c r="P58" i="29"/>
  <c r="P406" i="29" s="1"/>
  <c r="P55" i="29"/>
  <c r="P403" i="29" s="1"/>
  <c r="P531" i="29" s="1"/>
  <c r="P61" i="29"/>
  <c r="P409" i="29" s="1"/>
  <c r="P56" i="29"/>
  <c r="P404" i="29" s="1"/>
  <c r="P54" i="29"/>
  <c r="M397" i="29"/>
  <c r="M52" i="29"/>
  <c r="M400" i="29" s="1"/>
  <c r="M50" i="29"/>
  <c r="M399" i="29" s="1"/>
  <c r="M51" i="29"/>
  <c r="M398" i="29" s="1"/>
  <c r="M53" i="29"/>
  <c r="M401" i="29" s="1"/>
  <c r="M56" i="29"/>
  <c r="M404" i="29" s="1"/>
  <c r="M61" i="29"/>
  <c r="M409" i="29" s="1"/>
  <c r="M60" i="29"/>
  <c r="M408" i="29" s="1"/>
  <c r="M58" i="29"/>
  <c r="M406" i="29" s="1"/>
  <c r="M55" i="29"/>
  <c r="M403" i="29" s="1"/>
  <c r="M531" i="29" s="1"/>
  <c r="M57" i="29"/>
  <c r="M405" i="29" s="1"/>
  <c r="M59" i="29"/>
  <c r="M407" i="29" s="1"/>
  <c r="M54" i="29"/>
  <c r="J50" i="29"/>
  <c r="J399" i="29" s="1"/>
  <c r="J52" i="29"/>
  <c r="J400" i="29" s="1"/>
  <c r="J51" i="29"/>
  <c r="J398" i="29" s="1"/>
  <c r="J53" i="29"/>
  <c r="J401" i="29" s="1"/>
  <c r="J397" i="29"/>
  <c r="J59" i="29"/>
  <c r="J407" i="29" s="1"/>
  <c r="J56" i="29"/>
  <c r="J404" i="29" s="1"/>
  <c r="J55" i="29"/>
  <c r="J403" i="29" s="1"/>
  <c r="J531" i="29" s="1"/>
  <c r="J61" i="29"/>
  <c r="J409" i="29" s="1"/>
  <c r="J58" i="29"/>
  <c r="J406" i="29" s="1"/>
  <c r="J60" i="29"/>
  <c r="J408" i="29" s="1"/>
  <c r="J57" i="29"/>
  <c r="J405" i="29" s="1"/>
  <c r="J54" i="29"/>
  <c r="D436" i="29"/>
  <c r="F135" i="29"/>
  <c r="F136" i="29" s="1"/>
  <c r="V135" i="29"/>
  <c r="V136" i="29" s="1"/>
  <c r="D144" i="29"/>
  <c r="D419" i="29" s="1"/>
  <c r="D141" i="29"/>
  <c r="D417" i="29" s="1"/>
  <c r="D142" i="29"/>
  <c r="D416" i="29" s="1"/>
  <c r="D143" i="29"/>
  <c r="D418" i="29" s="1"/>
  <c r="D415" i="29"/>
  <c r="D150" i="29"/>
  <c r="D425" i="29" s="1"/>
  <c r="D151" i="29"/>
  <c r="D426" i="29" s="1"/>
  <c r="D146" i="29"/>
  <c r="D421" i="29" s="1"/>
  <c r="D148" i="29"/>
  <c r="D423" i="29" s="1"/>
  <c r="D152" i="29"/>
  <c r="D427" i="29" s="1"/>
  <c r="D149" i="29"/>
  <c r="D424" i="29" s="1"/>
  <c r="D147" i="29"/>
  <c r="D422" i="29" s="1"/>
  <c r="D145" i="29"/>
  <c r="G52" i="29"/>
  <c r="G400" i="29" s="1"/>
  <c r="G50" i="29"/>
  <c r="G399" i="29" s="1"/>
  <c r="G51" i="29"/>
  <c r="G398" i="29" s="1"/>
  <c r="G53" i="29"/>
  <c r="G401" i="29" s="1"/>
  <c r="G397" i="29"/>
  <c r="G56" i="29"/>
  <c r="G404" i="29" s="1"/>
  <c r="G60" i="29"/>
  <c r="G408" i="29" s="1"/>
  <c r="G59" i="29"/>
  <c r="G407" i="29" s="1"/>
  <c r="G55" i="29"/>
  <c r="G403" i="29" s="1"/>
  <c r="G531" i="29" s="1"/>
  <c r="G57" i="29"/>
  <c r="G405" i="29" s="1"/>
  <c r="G58" i="29"/>
  <c r="G406" i="29" s="1"/>
  <c r="G61" i="29"/>
  <c r="G409" i="29" s="1"/>
  <c r="G54" i="29"/>
  <c r="Q52" i="29"/>
  <c r="Q400" i="29" s="1"/>
  <c r="Q53" i="29"/>
  <c r="Q401" i="29" s="1"/>
  <c r="Q50" i="29"/>
  <c r="Q399" i="29" s="1"/>
  <c r="Q51" i="29"/>
  <c r="Q398" i="29" s="1"/>
  <c r="Q397" i="29"/>
  <c r="Q56" i="29"/>
  <c r="Q404" i="29" s="1"/>
  <c r="Q59" i="29"/>
  <c r="Q407" i="29" s="1"/>
  <c r="Q60" i="29"/>
  <c r="Q408" i="29" s="1"/>
  <c r="Q58" i="29"/>
  <c r="Q406" i="29" s="1"/>
  <c r="Q55" i="29"/>
  <c r="Q403" i="29" s="1"/>
  <c r="Q531" i="29" s="1"/>
  <c r="Q61" i="29"/>
  <c r="Q409" i="29" s="1"/>
  <c r="Q57" i="29"/>
  <c r="Q405" i="29" s="1"/>
  <c r="Q54" i="29"/>
  <c r="AG53" i="29"/>
  <c r="AG401" i="29" s="1"/>
  <c r="AG397" i="29"/>
  <c r="AG52" i="29"/>
  <c r="AG400" i="29" s="1"/>
  <c r="AG50" i="29"/>
  <c r="AG399" i="29" s="1"/>
  <c r="AG51" i="29"/>
  <c r="AG398" i="29" s="1"/>
  <c r="AG57" i="29"/>
  <c r="AG405" i="29" s="1"/>
  <c r="AG58" i="29"/>
  <c r="AG406" i="29" s="1"/>
  <c r="AG61" i="29"/>
  <c r="AG409" i="29" s="1"/>
  <c r="AG60" i="29"/>
  <c r="AG408" i="29" s="1"/>
  <c r="AG59" i="29"/>
  <c r="AG407" i="29" s="1"/>
  <c r="AG55" i="29"/>
  <c r="AG403" i="29" s="1"/>
  <c r="AG531" i="29" s="1"/>
  <c r="AG56" i="29"/>
  <c r="AG404" i="29" s="1"/>
  <c r="AG54" i="29"/>
  <c r="L135" i="29"/>
  <c r="L136" i="29" s="1"/>
  <c r="T135" i="29"/>
  <c r="T136" i="29" s="1"/>
  <c r="Y135" i="29"/>
  <c r="Y136" i="29" s="1"/>
  <c r="AF50" i="29"/>
  <c r="AF399" i="29" s="1"/>
  <c r="AF53" i="29"/>
  <c r="AF401" i="29" s="1"/>
  <c r="AF51" i="29"/>
  <c r="AF398" i="29" s="1"/>
  <c r="AF52" i="29"/>
  <c r="AF400" i="29" s="1"/>
  <c r="AF397" i="29"/>
  <c r="AF59" i="29"/>
  <c r="AF407" i="29" s="1"/>
  <c r="AF57" i="29"/>
  <c r="AF405" i="29" s="1"/>
  <c r="AF55" i="29"/>
  <c r="AF403" i="29" s="1"/>
  <c r="AF531" i="29" s="1"/>
  <c r="AF61" i="29"/>
  <c r="AF409" i="29" s="1"/>
  <c r="AF58" i="29"/>
  <c r="AF406" i="29" s="1"/>
  <c r="AF60" i="29"/>
  <c r="AF408" i="29" s="1"/>
  <c r="AF56" i="29"/>
  <c r="AF404" i="29" s="1"/>
  <c r="AF54" i="29"/>
  <c r="O50" i="29"/>
  <c r="O399" i="29" s="1"/>
  <c r="O52" i="29"/>
  <c r="O400" i="29" s="1"/>
  <c r="O53" i="29"/>
  <c r="O401" i="29" s="1"/>
  <c r="O51" i="29"/>
  <c r="O398" i="29" s="1"/>
  <c r="O397" i="29"/>
  <c r="O58" i="29"/>
  <c r="O406" i="29" s="1"/>
  <c r="O59" i="29"/>
  <c r="O407" i="29" s="1"/>
  <c r="O57" i="29"/>
  <c r="O405" i="29" s="1"/>
  <c r="O55" i="29"/>
  <c r="O403" i="29" s="1"/>
  <c r="O531" i="29" s="1"/>
  <c r="O56" i="29"/>
  <c r="O404" i="29" s="1"/>
  <c r="O61" i="29"/>
  <c r="O409" i="29" s="1"/>
  <c r="O60" i="29"/>
  <c r="O408" i="29" s="1"/>
  <c r="O54" i="29"/>
  <c r="X53" i="29"/>
  <c r="X401" i="29" s="1"/>
  <c r="X397" i="29"/>
  <c r="X51" i="29"/>
  <c r="X398" i="29" s="1"/>
  <c r="X50" i="29"/>
  <c r="X399" i="29" s="1"/>
  <c r="X52" i="29"/>
  <c r="X400" i="29" s="1"/>
  <c r="X59" i="29"/>
  <c r="X407" i="29" s="1"/>
  <c r="X55" i="29"/>
  <c r="X403" i="29" s="1"/>
  <c r="X531" i="29" s="1"/>
  <c r="X56" i="29"/>
  <c r="X404" i="29" s="1"/>
  <c r="X61" i="29"/>
  <c r="X409" i="29" s="1"/>
  <c r="X57" i="29"/>
  <c r="X405" i="29" s="1"/>
  <c r="X60" i="29"/>
  <c r="X408" i="29" s="1"/>
  <c r="X58" i="29"/>
  <c r="X406" i="29" s="1"/>
  <c r="X54" i="29"/>
  <c r="D271" i="29"/>
  <c r="D272" i="29" s="1"/>
  <c r="D226" i="29"/>
  <c r="D227" i="29" s="1"/>
  <c r="D438" i="29"/>
  <c r="D442" i="29"/>
  <c r="D434" i="29"/>
  <c r="X135" i="29"/>
  <c r="X136" i="29" s="1"/>
  <c r="D330" i="29"/>
  <c r="D331" i="29" s="1"/>
  <c r="AA135" i="29"/>
  <c r="AA136" i="29" s="1"/>
  <c r="AH397" i="29"/>
  <c r="AH51" i="29"/>
  <c r="AH398" i="29" s="1"/>
  <c r="AH52" i="29"/>
  <c r="AH400" i="29" s="1"/>
  <c r="AH53" i="29"/>
  <c r="AH401" i="29" s="1"/>
  <c r="AH50" i="29"/>
  <c r="AH399" i="29" s="1"/>
  <c r="AH55" i="29"/>
  <c r="AH403" i="29" s="1"/>
  <c r="AH531" i="29" s="1"/>
  <c r="AH56" i="29"/>
  <c r="AH404" i="29" s="1"/>
  <c r="AH59" i="29"/>
  <c r="AH407" i="29" s="1"/>
  <c r="AH60" i="29"/>
  <c r="AH408" i="29" s="1"/>
  <c r="AH58" i="29"/>
  <c r="AH406" i="29" s="1"/>
  <c r="AH57" i="29"/>
  <c r="AH405" i="29" s="1"/>
  <c r="AH61" i="29"/>
  <c r="AH409" i="29" s="1"/>
  <c r="AH54" i="29"/>
  <c r="AB53" i="29"/>
  <c r="AB401" i="29" s="1"/>
  <c r="AB50" i="29"/>
  <c r="AB399" i="29" s="1"/>
  <c r="AB52" i="29"/>
  <c r="AB400" i="29" s="1"/>
  <c r="AB51" i="29"/>
  <c r="AB398" i="29" s="1"/>
  <c r="AB397" i="29"/>
  <c r="AB58" i="29"/>
  <c r="AB406" i="29" s="1"/>
  <c r="AB59" i="29"/>
  <c r="AB407" i="29" s="1"/>
  <c r="AB60" i="29"/>
  <c r="AB408" i="29" s="1"/>
  <c r="AB57" i="29"/>
  <c r="AB405" i="29" s="1"/>
  <c r="AB61" i="29"/>
  <c r="AB409" i="29" s="1"/>
  <c r="AB56" i="29"/>
  <c r="AB404" i="29" s="1"/>
  <c r="AB55" i="29"/>
  <c r="AB403" i="29" s="1"/>
  <c r="AB531" i="29" s="1"/>
  <c r="AB54" i="29"/>
  <c r="T397" i="29"/>
  <c r="T52" i="29"/>
  <c r="T400" i="29" s="1"/>
  <c r="T51" i="29"/>
  <c r="T398" i="29" s="1"/>
  <c r="T50" i="29"/>
  <c r="T399" i="29" s="1"/>
  <c r="T53" i="29"/>
  <c r="T401" i="29" s="1"/>
  <c r="T59" i="29"/>
  <c r="T407" i="29" s="1"/>
  <c r="T57" i="29"/>
  <c r="T405" i="29" s="1"/>
  <c r="T61" i="29"/>
  <c r="T409" i="29" s="1"/>
  <c r="T56" i="29"/>
  <c r="T404" i="29" s="1"/>
  <c r="T60" i="29"/>
  <c r="T408" i="29" s="1"/>
  <c r="T58" i="29"/>
  <c r="T406" i="29" s="1"/>
  <c r="T55" i="29"/>
  <c r="T403" i="29" s="1"/>
  <c r="T531" i="29" s="1"/>
  <c r="T54" i="29"/>
  <c r="R51" i="29"/>
  <c r="R398" i="29" s="1"/>
  <c r="R50" i="29"/>
  <c r="R399" i="29" s="1"/>
  <c r="R52" i="29"/>
  <c r="R400" i="29" s="1"/>
  <c r="R53" i="29"/>
  <c r="R401" i="29" s="1"/>
  <c r="R397" i="29"/>
  <c r="R55" i="29"/>
  <c r="R403" i="29" s="1"/>
  <c r="R531" i="29" s="1"/>
  <c r="R61" i="29"/>
  <c r="R409" i="29" s="1"/>
  <c r="R59" i="29"/>
  <c r="R407" i="29" s="1"/>
  <c r="R56" i="29"/>
  <c r="R404" i="29" s="1"/>
  <c r="R60" i="29"/>
  <c r="R408" i="29" s="1"/>
  <c r="R57" i="29"/>
  <c r="R405" i="29" s="1"/>
  <c r="R58" i="29"/>
  <c r="R406" i="29" s="1"/>
  <c r="R54" i="29"/>
  <c r="D435" i="29"/>
  <c r="AA397" i="29"/>
  <c r="AA51" i="29"/>
  <c r="AA398" i="29" s="1"/>
  <c r="AA52" i="29"/>
  <c r="AA400" i="29" s="1"/>
  <c r="AA53" i="29"/>
  <c r="AA401" i="29" s="1"/>
  <c r="AA50" i="29"/>
  <c r="AA399" i="29" s="1"/>
  <c r="AA60" i="29"/>
  <c r="AA408" i="29" s="1"/>
  <c r="AA58" i="29"/>
  <c r="AA406" i="29" s="1"/>
  <c r="AA55" i="29"/>
  <c r="AA403" i="29" s="1"/>
  <c r="AA531" i="29" s="1"/>
  <c r="AA56" i="29"/>
  <c r="AA404" i="29" s="1"/>
  <c r="AA61" i="29"/>
  <c r="AA409" i="29" s="1"/>
  <c r="AA59" i="29"/>
  <c r="AA407" i="29" s="1"/>
  <c r="AA57" i="29"/>
  <c r="AA405" i="29" s="1"/>
  <c r="AA54" i="29"/>
  <c r="H53" i="29"/>
  <c r="H401" i="29" s="1"/>
  <c r="H52" i="29"/>
  <c r="H400" i="29" s="1"/>
  <c r="H51" i="29"/>
  <c r="H398" i="29" s="1"/>
  <c r="H50" i="29"/>
  <c r="H399" i="29" s="1"/>
  <c r="H397" i="29"/>
  <c r="H58" i="29"/>
  <c r="H406" i="29" s="1"/>
  <c r="H60" i="29"/>
  <c r="H408" i="29" s="1"/>
  <c r="H56" i="29"/>
  <c r="H404" i="29" s="1"/>
  <c r="H61" i="29"/>
  <c r="H409" i="29" s="1"/>
  <c r="H59" i="29"/>
  <c r="H407" i="29" s="1"/>
  <c r="H55" i="29"/>
  <c r="H403" i="29" s="1"/>
  <c r="H531" i="29" s="1"/>
  <c r="H57" i="29"/>
  <c r="H405" i="29" s="1"/>
  <c r="H54" i="29"/>
  <c r="V397" i="29"/>
  <c r="V53" i="29"/>
  <c r="V401" i="29" s="1"/>
  <c r="V51" i="29"/>
  <c r="V398" i="29" s="1"/>
  <c r="V52" i="29"/>
  <c r="V400" i="29" s="1"/>
  <c r="V50" i="29"/>
  <c r="V399" i="29" s="1"/>
  <c r="V57" i="29"/>
  <c r="V405" i="29" s="1"/>
  <c r="V61" i="29"/>
  <c r="V409" i="29" s="1"/>
  <c r="V59" i="29"/>
  <c r="V407" i="29" s="1"/>
  <c r="V55" i="29"/>
  <c r="V403" i="29" s="1"/>
  <c r="V531" i="29" s="1"/>
  <c r="V56" i="29"/>
  <c r="V404" i="29" s="1"/>
  <c r="V60" i="29"/>
  <c r="V408" i="29" s="1"/>
  <c r="V58" i="29"/>
  <c r="V406" i="29" s="1"/>
  <c r="V54" i="29"/>
  <c r="L53" i="29"/>
  <c r="L401" i="29" s="1"/>
  <c r="L51" i="29"/>
  <c r="L398" i="29" s="1"/>
  <c r="L397" i="29"/>
  <c r="L50" i="29"/>
  <c r="L399" i="29" s="1"/>
  <c r="L52" i="29"/>
  <c r="L400" i="29" s="1"/>
  <c r="L56" i="29"/>
  <c r="L404" i="29" s="1"/>
  <c r="L60" i="29"/>
  <c r="L408" i="29" s="1"/>
  <c r="L58" i="29"/>
  <c r="L406" i="29" s="1"/>
  <c r="L57" i="29"/>
  <c r="L405" i="29" s="1"/>
  <c r="L55" i="29"/>
  <c r="L403" i="29" s="1"/>
  <c r="L531" i="29" s="1"/>
  <c r="L61" i="29"/>
  <c r="L409" i="29" s="1"/>
  <c r="L59" i="29"/>
  <c r="L407" i="29" s="1"/>
  <c r="L54" i="29"/>
  <c r="K550" i="29"/>
  <c r="S550" i="29"/>
  <c r="AA550" i="29"/>
  <c r="E550" i="29"/>
  <c r="E564" i="29" s="1"/>
  <c r="F550" i="29"/>
  <c r="AD550" i="29"/>
  <c r="H550" i="29"/>
  <c r="AF550" i="29"/>
  <c r="R550" i="29"/>
  <c r="L550" i="29"/>
  <c r="T550" i="29"/>
  <c r="AB550" i="29"/>
  <c r="V550" i="29"/>
  <c r="J550" i="29"/>
  <c r="M550" i="29"/>
  <c r="U550" i="29"/>
  <c r="AC550" i="29"/>
  <c r="N550" i="29"/>
  <c r="P550" i="29"/>
  <c r="AH550" i="29"/>
  <c r="G550" i="29"/>
  <c r="O550" i="29"/>
  <c r="W550" i="29"/>
  <c r="AE550" i="29"/>
  <c r="X550" i="29"/>
  <c r="I550" i="29"/>
  <c r="Q550" i="29"/>
  <c r="Y550" i="29"/>
  <c r="AG550" i="29"/>
  <c r="Z550" i="29"/>
  <c r="B248" i="14"/>
  <c r="C237" i="14"/>
  <c r="B216" i="14"/>
  <c r="B241" i="14" s="1"/>
  <c r="G90" i="29" l="1"/>
  <c r="G91" i="29" s="1"/>
  <c r="G402" i="29"/>
  <c r="AA90" i="29"/>
  <c r="AA91" i="29" s="1"/>
  <c r="AA402" i="29"/>
  <c r="AB90" i="29"/>
  <c r="AB91" i="29" s="1"/>
  <c r="AB402" i="29"/>
  <c r="M90" i="29"/>
  <c r="M91" i="29" s="1"/>
  <c r="M402" i="29"/>
  <c r="D532" i="29"/>
  <c r="Y90" i="29"/>
  <c r="Y91" i="29" s="1"/>
  <c r="Y402" i="29"/>
  <c r="I402" i="29"/>
  <c r="I90" i="29"/>
  <c r="I91" i="29" s="1"/>
  <c r="Q90" i="29"/>
  <c r="Q91" i="29" s="1"/>
  <c r="Q402" i="29"/>
  <c r="N90" i="29"/>
  <c r="N91" i="29" s="1"/>
  <c r="N402" i="29"/>
  <c r="R90" i="29"/>
  <c r="R91" i="29" s="1"/>
  <c r="R402" i="29"/>
  <c r="L402" i="29"/>
  <c r="L90" i="29"/>
  <c r="L91" i="29" s="1"/>
  <c r="X90" i="29"/>
  <c r="X91" i="29" s="1"/>
  <c r="X402" i="29"/>
  <c r="W402" i="29"/>
  <c r="W90" i="29"/>
  <c r="W91" i="29" s="1"/>
  <c r="S402" i="29"/>
  <c r="S90" i="29"/>
  <c r="S91" i="29" s="1"/>
  <c r="K90" i="29"/>
  <c r="K91" i="29" s="1"/>
  <c r="K402" i="29"/>
  <c r="H402" i="29"/>
  <c r="H90" i="29"/>
  <c r="H91" i="29" s="1"/>
  <c r="T90" i="29"/>
  <c r="T91" i="29" s="1"/>
  <c r="T402" i="29"/>
  <c r="D420" i="29"/>
  <c r="D526" i="29"/>
  <c r="D181" i="29"/>
  <c r="D182" i="29" s="1"/>
  <c r="J90" i="29"/>
  <c r="J91" i="29" s="1"/>
  <c r="J402" i="29"/>
  <c r="U402" i="29"/>
  <c r="U90" i="29"/>
  <c r="U91" i="29" s="1"/>
  <c r="AF402" i="29"/>
  <c r="AF90" i="29"/>
  <c r="AF91" i="29" s="1"/>
  <c r="AG90" i="29"/>
  <c r="AG91" i="29" s="1"/>
  <c r="AG402" i="29"/>
  <c r="E402" i="29"/>
  <c r="E90" i="29"/>
  <c r="E91" i="29" s="1"/>
  <c r="AH90" i="29"/>
  <c r="AH91" i="29" s="1"/>
  <c r="AH402" i="29"/>
  <c r="P90" i="29"/>
  <c r="P91" i="29" s="1"/>
  <c r="P402" i="29"/>
  <c r="AD90" i="29"/>
  <c r="AD91" i="29" s="1"/>
  <c r="AD402" i="29"/>
  <c r="Z90" i="29"/>
  <c r="Z91" i="29" s="1"/>
  <c r="Z402" i="29"/>
  <c r="AE90" i="29"/>
  <c r="AE91" i="29" s="1"/>
  <c r="AE402" i="29"/>
  <c r="V402" i="29"/>
  <c r="V90" i="29"/>
  <c r="V91" i="29" s="1"/>
  <c r="O402" i="29"/>
  <c r="O90" i="29"/>
  <c r="O91" i="29" s="1"/>
  <c r="AC402" i="29"/>
  <c r="AC90" i="29"/>
  <c r="AC91" i="29" s="1"/>
  <c r="F90" i="29"/>
  <c r="F91" i="29" s="1"/>
  <c r="F402" i="29"/>
  <c r="F564" i="29"/>
  <c r="G564" i="29" s="1"/>
  <c r="H564" i="29" s="1"/>
  <c r="I564" i="29" s="1"/>
  <c r="J564" i="29" s="1"/>
  <c r="K564" i="29" s="1"/>
  <c r="L564" i="29" s="1"/>
  <c r="M564" i="29" s="1"/>
  <c r="N564" i="29" s="1"/>
  <c r="O564" i="29" s="1"/>
  <c r="P564" i="29" s="1"/>
  <c r="Q564" i="29" s="1"/>
  <c r="R564" i="29" s="1"/>
  <c r="S564" i="29" s="1"/>
  <c r="T564" i="29" s="1"/>
  <c r="U564" i="29" s="1"/>
  <c r="V564" i="29" s="1"/>
  <c r="W564" i="29" s="1"/>
  <c r="X564" i="29" s="1"/>
  <c r="Y564" i="29" s="1"/>
  <c r="Z564" i="29" s="1"/>
  <c r="AA564" i="29" s="1"/>
  <c r="AB564" i="29" s="1"/>
  <c r="AC564" i="29" s="1"/>
  <c r="AD564" i="29" s="1"/>
  <c r="AE564" i="29" s="1"/>
  <c r="AF564" i="29" s="1"/>
  <c r="AG564" i="29" s="1"/>
  <c r="AH564" i="29" s="1"/>
  <c r="AK550" i="29"/>
  <c r="AI550" i="29"/>
  <c r="AJ550" i="29"/>
  <c r="D22" i="51"/>
  <c r="D20" i="51"/>
  <c r="D19" i="51"/>
  <c r="D18" i="51"/>
  <c r="I20" i="51"/>
  <c r="I19" i="51"/>
  <c r="G18" i="51"/>
  <c r="D17" i="51"/>
  <c r="B17" i="51"/>
  <c r="G17" i="51" s="1"/>
  <c r="B49" i="26"/>
  <c r="B45" i="26"/>
  <c r="B41" i="26"/>
  <c r="B37" i="26"/>
  <c r="B33" i="26"/>
  <c r="B29" i="26"/>
  <c r="I21" i="51" l="1"/>
  <c r="I5" i="14"/>
  <c r="Q5" i="14"/>
  <c r="Y5" i="14"/>
  <c r="AG5" i="14"/>
  <c r="S5" i="14"/>
  <c r="J5" i="14"/>
  <c r="R5" i="14"/>
  <c r="Z5" i="14"/>
  <c r="AH5" i="14"/>
  <c r="K5" i="14"/>
  <c r="AA5" i="14"/>
  <c r="L5" i="14"/>
  <c r="T5" i="14"/>
  <c r="AB5" i="14"/>
  <c r="E5" i="14"/>
  <c r="M5" i="14"/>
  <c r="U5" i="14"/>
  <c r="AC5" i="14"/>
  <c r="X5" i="14"/>
  <c r="F5" i="14"/>
  <c r="N5" i="14"/>
  <c r="V5" i="14"/>
  <c r="AD5" i="14"/>
  <c r="G5" i="14"/>
  <c r="O5" i="14"/>
  <c r="W5" i="14"/>
  <c r="AE5" i="14"/>
  <c r="H5" i="14"/>
  <c r="P5" i="14"/>
  <c r="AF5" i="14"/>
  <c r="AJ564" i="29"/>
  <c r="AK564" i="29"/>
  <c r="AI564" i="29"/>
  <c r="G19" i="51"/>
  <c r="G22" i="51"/>
  <c r="I22" i="51"/>
  <c r="G20" i="51"/>
  <c r="I18" i="51"/>
  <c r="B23" i="51"/>
  <c r="I17" i="51"/>
  <c r="R41" i="14" l="1"/>
  <c r="R39" i="14" s="1"/>
  <c r="R32" i="14"/>
  <c r="R30" i="14" s="1"/>
  <c r="R35" i="14"/>
  <c r="R33" i="14" s="1"/>
  <c r="R29" i="14"/>
  <c r="R27" i="14" s="1"/>
  <c r="R38" i="14"/>
  <c r="R36" i="14" s="1"/>
  <c r="V41" i="14"/>
  <c r="V39" i="14" s="1"/>
  <c r="V29" i="14"/>
  <c r="V27" i="14" s="1"/>
  <c r="V38" i="14"/>
  <c r="V36" i="14" s="1"/>
  <c r="V32" i="14"/>
  <c r="V30" i="14" s="1"/>
  <c r="V35" i="14"/>
  <c r="V33" i="14" s="1"/>
  <c r="T38" i="14"/>
  <c r="T36" i="14" s="1"/>
  <c r="T29" i="14"/>
  <c r="T27" i="14" s="1"/>
  <c r="T41" i="14"/>
  <c r="T39" i="14" s="1"/>
  <c r="T32" i="14"/>
  <c r="T30" i="14" s="1"/>
  <c r="T35" i="14"/>
  <c r="T33" i="14" s="1"/>
  <c r="S29" i="14"/>
  <c r="S27" i="14" s="1"/>
  <c r="S32" i="14"/>
  <c r="S30" i="14" s="1"/>
  <c r="S35" i="14"/>
  <c r="S33" i="14" s="1"/>
  <c r="S38" i="14"/>
  <c r="S36" i="14" s="1"/>
  <c r="S41" i="14"/>
  <c r="S39" i="14" s="1"/>
  <c r="AF38" i="14"/>
  <c r="AF36" i="14" s="1"/>
  <c r="AF41" i="14"/>
  <c r="AF39" i="14" s="1"/>
  <c r="AF32" i="14"/>
  <c r="AF30" i="14" s="1"/>
  <c r="AF35" i="14"/>
  <c r="AF33" i="14" s="1"/>
  <c r="AF29" i="14"/>
  <c r="AF27" i="14" s="1"/>
  <c r="N29" i="14"/>
  <c r="N27" i="14" s="1"/>
  <c r="N38" i="14"/>
  <c r="N36" i="14" s="1"/>
  <c r="N32" i="14"/>
  <c r="N30" i="14" s="1"/>
  <c r="N35" i="14"/>
  <c r="N33" i="14" s="1"/>
  <c r="N41" i="14"/>
  <c r="N39" i="14" s="1"/>
  <c r="H29" i="14"/>
  <c r="H27" i="14" s="1"/>
  <c r="H38" i="14"/>
  <c r="H36" i="14" s="1"/>
  <c r="H41" i="14"/>
  <c r="H39" i="14" s="1"/>
  <c r="H32" i="14"/>
  <c r="H30" i="14" s="1"/>
  <c r="H35" i="14"/>
  <c r="H33" i="14" s="1"/>
  <c r="F41" i="14"/>
  <c r="F39" i="14" s="1"/>
  <c r="F29" i="14"/>
  <c r="F27" i="14" s="1"/>
  <c r="F38" i="14"/>
  <c r="F36" i="14" s="1"/>
  <c r="F32" i="14"/>
  <c r="F30" i="14" s="1"/>
  <c r="F35" i="14"/>
  <c r="F33" i="14" s="1"/>
  <c r="L29" i="14"/>
  <c r="L27" i="14" s="1"/>
  <c r="L38" i="14"/>
  <c r="L36" i="14" s="1"/>
  <c r="L41" i="14"/>
  <c r="L39" i="14" s="1"/>
  <c r="L32" i="14"/>
  <c r="L30" i="14" s="1"/>
  <c r="L35" i="14"/>
  <c r="L33" i="14" s="1"/>
  <c r="AG29" i="14"/>
  <c r="AG27" i="14" s="1"/>
  <c r="AG38" i="14"/>
  <c r="AG36" i="14" s="1"/>
  <c r="AG41" i="14"/>
  <c r="AG39" i="14" s="1"/>
  <c r="AG32" i="14"/>
  <c r="AG30" i="14" s="1"/>
  <c r="AG35" i="14"/>
  <c r="AG33" i="14" s="1"/>
  <c r="E45" i="14"/>
  <c r="E35" i="14"/>
  <c r="E32" i="14"/>
  <c r="E38" i="14"/>
  <c r="E41" i="14"/>
  <c r="X29" i="14"/>
  <c r="X27" i="14" s="1"/>
  <c r="X38" i="14"/>
  <c r="X36" i="14" s="1"/>
  <c r="X41" i="14"/>
  <c r="X39" i="14" s="1"/>
  <c r="X32" i="14"/>
  <c r="X30" i="14" s="1"/>
  <c r="X35" i="14"/>
  <c r="X33" i="14" s="1"/>
  <c r="Y32" i="14"/>
  <c r="Y30" i="14" s="1"/>
  <c r="Y35" i="14"/>
  <c r="Y33" i="14" s="1"/>
  <c r="Y41" i="14"/>
  <c r="Y39" i="14" s="1"/>
  <c r="Y29" i="14"/>
  <c r="Y27" i="14" s="1"/>
  <c r="Y38" i="14"/>
  <c r="Y36" i="14" s="1"/>
  <c r="W41" i="14"/>
  <c r="W39" i="14" s="1"/>
  <c r="W32" i="14"/>
  <c r="W30" i="14" s="1"/>
  <c r="W35" i="14"/>
  <c r="W33" i="14" s="1"/>
  <c r="W29" i="14"/>
  <c r="W27" i="14" s="1"/>
  <c r="W38" i="14"/>
  <c r="W36" i="14" s="1"/>
  <c r="K29" i="14"/>
  <c r="K27" i="14" s="1"/>
  <c r="K41" i="14"/>
  <c r="K39" i="14" s="1"/>
  <c r="K38" i="14"/>
  <c r="K36" i="14" s="1"/>
  <c r="K32" i="14"/>
  <c r="K30" i="14" s="1"/>
  <c r="K35" i="14"/>
  <c r="K33" i="14" s="1"/>
  <c r="Q38" i="14"/>
  <c r="Q36" i="14" s="1"/>
  <c r="Q32" i="14"/>
  <c r="Q30" i="14" s="1"/>
  <c r="Q35" i="14"/>
  <c r="Q33" i="14" s="1"/>
  <c r="Q41" i="14"/>
  <c r="Q39" i="14" s="1"/>
  <c r="Q29" i="14"/>
  <c r="Q27" i="14" s="1"/>
  <c r="J29" i="14"/>
  <c r="J27" i="14" s="1"/>
  <c r="J38" i="14"/>
  <c r="J36" i="14" s="1"/>
  <c r="J41" i="14"/>
  <c r="J39" i="14" s="1"/>
  <c r="J32" i="14"/>
  <c r="J30" i="14" s="1"/>
  <c r="J35" i="14"/>
  <c r="J33" i="14" s="1"/>
  <c r="AE32" i="14"/>
  <c r="AE30" i="14" s="1"/>
  <c r="AE35" i="14"/>
  <c r="AE33" i="14" s="1"/>
  <c r="AE29" i="14"/>
  <c r="AE27" i="14" s="1"/>
  <c r="AE38" i="14"/>
  <c r="AE36" i="14" s="1"/>
  <c r="AE41" i="14"/>
  <c r="AE39" i="14" s="1"/>
  <c r="U29" i="14"/>
  <c r="U27" i="14" s="1"/>
  <c r="U32" i="14"/>
  <c r="U30" i="14" s="1"/>
  <c r="U35" i="14"/>
  <c r="U33" i="14" s="1"/>
  <c r="U41" i="14"/>
  <c r="U39" i="14" s="1"/>
  <c r="U38" i="14"/>
  <c r="U36" i="14" s="1"/>
  <c r="AH41" i="14"/>
  <c r="AH39" i="14" s="1"/>
  <c r="AH32" i="14"/>
  <c r="AH30" i="14" s="1"/>
  <c r="AH35" i="14"/>
  <c r="AH33" i="14" s="1"/>
  <c r="AH29" i="14"/>
  <c r="AH27" i="14" s="1"/>
  <c r="AH38" i="14"/>
  <c r="AH36" i="14" s="1"/>
  <c r="I41" i="14"/>
  <c r="I39" i="14" s="1"/>
  <c r="I38" i="14"/>
  <c r="I36" i="14" s="1"/>
  <c r="I32" i="14"/>
  <c r="I30" i="14" s="1"/>
  <c r="I35" i="14"/>
  <c r="I33" i="14" s="1"/>
  <c r="I29" i="14"/>
  <c r="I27" i="14" s="1"/>
  <c r="AD41" i="14"/>
  <c r="AD39" i="14" s="1"/>
  <c r="AD35" i="14"/>
  <c r="AD33" i="14" s="1"/>
  <c r="AD29" i="14"/>
  <c r="AD27" i="14" s="1"/>
  <c r="AD38" i="14"/>
  <c r="AD36" i="14" s="1"/>
  <c r="AD32" i="14"/>
  <c r="AD30" i="14" s="1"/>
  <c r="AB41" i="14"/>
  <c r="AB39" i="14" s="1"/>
  <c r="AB38" i="14"/>
  <c r="AB36" i="14" s="1"/>
  <c r="AB32" i="14"/>
  <c r="AB30" i="14" s="1"/>
  <c r="AB35" i="14"/>
  <c r="AB33" i="14" s="1"/>
  <c r="AB29" i="14"/>
  <c r="AB27" i="14" s="1"/>
  <c r="P29" i="14"/>
  <c r="P27" i="14" s="1"/>
  <c r="P38" i="14"/>
  <c r="P36" i="14" s="1"/>
  <c r="P41" i="14"/>
  <c r="P39" i="14" s="1"/>
  <c r="P32" i="14"/>
  <c r="P30" i="14" s="1"/>
  <c r="P35" i="14"/>
  <c r="P33" i="14" s="1"/>
  <c r="AA32" i="14"/>
  <c r="AA30" i="14" s="1"/>
  <c r="AA35" i="14"/>
  <c r="AA33" i="14" s="1"/>
  <c r="AA38" i="14"/>
  <c r="AA36" i="14" s="1"/>
  <c r="AA41" i="14"/>
  <c r="AA39" i="14" s="1"/>
  <c r="AA29" i="14"/>
  <c r="AA27" i="14" s="1"/>
  <c r="AC32" i="14"/>
  <c r="AC30" i="14" s="1"/>
  <c r="AC29" i="14"/>
  <c r="AC27" i="14" s="1"/>
  <c r="AC35" i="14"/>
  <c r="AC33" i="14" s="1"/>
  <c r="AC41" i="14"/>
  <c r="AC39" i="14" s="1"/>
  <c r="AC38" i="14"/>
  <c r="AC36" i="14" s="1"/>
  <c r="O41" i="14"/>
  <c r="O39" i="14" s="1"/>
  <c r="O32" i="14"/>
  <c r="O30" i="14" s="1"/>
  <c r="O35" i="14"/>
  <c r="O33" i="14" s="1"/>
  <c r="O29" i="14"/>
  <c r="O27" i="14" s="1"/>
  <c r="O38" i="14"/>
  <c r="O36" i="14" s="1"/>
  <c r="G41" i="14"/>
  <c r="G39" i="14" s="1"/>
  <c r="G32" i="14"/>
  <c r="G30" i="14" s="1"/>
  <c r="G35" i="14"/>
  <c r="G33" i="14" s="1"/>
  <c r="G29" i="14"/>
  <c r="G27" i="14" s="1"/>
  <c r="G38" i="14"/>
  <c r="G36" i="14" s="1"/>
  <c r="M32" i="14"/>
  <c r="M30" i="14" s="1"/>
  <c r="M35" i="14"/>
  <c r="M33" i="14" s="1"/>
  <c r="M29" i="14"/>
  <c r="M27" i="14" s="1"/>
  <c r="M41" i="14"/>
  <c r="M39" i="14" s="1"/>
  <c r="M38" i="14"/>
  <c r="M36" i="14" s="1"/>
  <c r="Z41" i="14"/>
  <c r="Z39" i="14" s="1"/>
  <c r="Z32" i="14"/>
  <c r="Z30" i="14" s="1"/>
  <c r="Z35" i="14"/>
  <c r="Z33" i="14" s="1"/>
  <c r="Z29" i="14"/>
  <c r="Z27" i="14" s="1"/>
  <c r="Z38" i="14"/>
  <c r="Z36" i="14" s="1"/>
  <c r="B35" i="51"/>
  <c r="G23" i="51"/>
  <c r="B30" i="51" s="1"/>
  <c r="I23" i="51"/>
  <c r="B31" i="51" l="1"/>
  <c r="E67" i="51" s="1"/>
  <c r="C56" i="51"/>
  <c r="C57" i="51"/>
  <c r="I27" i="51"/>
  <c r="K33" i="52"/>
  <c r="K32" i="52" s="1"/>
  <c r="B36" i="51"/>
  <c r="B37" i="51" s="1"/>
  <c r="C55" i="51"/>
  <c r="C58" i="51"/>
  <c r="B40" i="51"/>
  <c r="I26" i="51"/>
  <c r="C68" i="51" l="1"/>
  <c r="C69" i="51"/>
  <c r="C70" i="51"/>
  <c r="E84" i="51" s="1"/>
  <c r="F69" i="51"/>
  <c r="F67" i="51"/>
  <c r="C67" i="51"/>
  <c r="B14" i="52"/>
  <c r="E6" i="26"/>
  <c r="B110" i="51" s="1"/>
  <c r="B112" i="51" s="1"/>
  <c r="B32" i="51"/>
  <c r="C54" i="51"/>
  <c r="C50" i="51"/>
  <c r="C46" i="51"/>
  <c r="C52" i="51"/>
  <c r="C59" i="51"/>
  <c r="C51" i="51"/>
  <c r="C47" i="51"/>
  <c r="C53" i="51"/>
  <c r="C48" i="51"/>
  <c r="C49" i="51"/>
  <c r="E73" i="51" l="1"/>
  <c r="E75" i="51" s="1"/>
  <c r="K39" i="52" s="1"/>
  <c r="E77" i="51"/>
  <c r="E69" i="51"/>
  <c r="J92" i="26"/>
  <c r="J93" i="26" s="1"/>
  <c r="J89" i="26"/>
  <c r="J90" i="26" s="1"/>
  <c r="J86" i="26"/>
  <c r="J87" i="26" s="1"/>
  <c r="J83" i="26"/>
  <c r="J84" i="26" s="1"/>
  <c r="J80" i="26"/>
  <c r="J81" i="26" s="1"/>
  <c r="J77" i="26"/>
  <c r="J78" i="26" s="1"/>
  <c r="J74" i="26"/>
  <c r="J75" i="26" s="1"/>
  <c r="E74" i="51" l="1"/>
  <c r="K38" i="52" s="1"/>
  <c r="K37" i="52" s="1"/>
  <c r="C108" i="52" s="1"/>
  <c r="E81" i="51"/>
  <c r="K44" i="52" s="1"/>
  <c r="E80" i="51"/>
  <c r="K43" i="52" s="1"/>
  <c r="E82" i="51"/>
  <c r="K45" i="52" s="1"/>
  <c r="E78" i="51"/>
  <c r="K41" i="52" s="1"/>
  <c r="E79" i="51"/>
  <c r="K42" i="52" s="1"/>
  <c r="E83" i="51"/>
  <c r="E76" i="26"/>
  <c r="C142" i="52"/>
  <c r="C61" i="51"/>
  <c r="C62" i="51" s="1"/>
  <c r="K40" i="52" l="1"/>
  <c r="E66" i="26"/>
  <c r="C146" i="52"/>
  <c r="E68" i="26"/>
  <c r="C147" i="52"/>
  <c r="E60" i="26"/>
  <c r="C144" i="52"/>
  <c r="E59" i="26"/>
  <c r="C143" i="52"/>
  <c r="E67" i="26"/>
  <c r="C145" i="52"/>
  <c r="E73" i="26"/>
  <c r="D165" i="14" s="1"/>
  <c r="C141" i="52"/>
  <c r="C118" i="52"/>
  <c r="C119" i="52"/>
  <c r="C112" i="52"/>
  <c r="C120" i="52"/>
  <c r="C113" i="52"/>
  <c r="C114" i="52"/>
  <c r="C111" i="52"/>
  <c r="C110" i="52"/>
  <c r="C116" i="52"/>
  <c r="C117" i="52"/>
  <c r="C115" i="52"/>
  <c r="D216" i="14"/>
  <c r="A361" i="29"/>
  <c r="A347" i="29"/>
  <c r="A333" i="29"/>
  <c r="A316" i="29"/>
  <c r="A302" i="29"/>
  <c r="A288" i="29"/>
  <c r="A257" i="29"/>
  <c r="A260" i="29" s="1"/>
  <c r="A243" i="29"/>
  <c r="A229" i="29"/>
  <c r="A239" i="29" s="1"/>
  <c r="AI216" i="14" l="1"/>
  <c r="D65" i="52" s="1"/>
  <c r="C241" i="14"/>
  <c r="D215" i="14"/>
  <c r="C240" i="14" s="1"/>
  <c r="A259" i="29"/>
  <c r="A255" i="29"/>
  <c r="A245" i="29"/>
  <c r="A253" i="29"/>
  <c r="A241" i="29"/>
  <c r="A231" i="29"/>
  <c r="A236" i="29"/>
  <c r="A250" i="29"/>
  <c r="A234" i="29"/>
  <c r="A242" i="29"/>
  <c r="A248" i="29"/>
  <c r="A256" i="29"/>
  <c r="A237" i="29"/>
  <c r="A251" i="29"/>
  <c r="A232" i="29"/>
  <c r="A240" i="29"/>
  <c r="A246" i="29"/>
  <c r="A254" i="29"/>
  <c r="A235" i="29"/>
  <c r="A249" i="29"/>
  <c r="A270" i="29"/>
  <c r="A262" i="29"/>
  <c r="A267" i="29"/>
  <c r="A264" i="29"/>
  <c r="A269" i="29"/>
  <c r="A266" i="29"/>
  <c r="A263" i="29"/>
  <c r="A265" i="29"/>
  <c r="A230" i="29"/>
  <c r="A238" i="29"/>
  <c r="A244" i="29"/>
  <c r="A252" i="29"/>
  <c r="A258" i="29"/>
  <c r="A268" i="29"/>
  <c r="A233" i="29"/>
  <c r="A247" i="29"/>
  <c r="A261" i="29"/>
  <c r="A48" i="29"/>
  <c r="D81" i="31"/>
  <c r="D77" i="31"/>
  <c r="D73" i="31"/>
  <c r="E37" i="29" s="1"/>
  <c r="E332" i="29" s="1"/>
  <c r="D69" i="31"/>
  <c r="E36" i="29" s="1"/>
  <c r="E287" i="29" s="1"/>
  <c r="D65" i="31"/>
  <c r="E35" i="29" s="1"/>
  <c r="D61" i="31"/>
  <c r="D57" i="31"/>
  <c r="D53" i="31"/>
  <c r="D49" i="31"/>
  <c r="D45" i="31"/>
  <c r="D41" i="31"/>
  <c r="E32" i="29" s="1"/>
  <c r="B35" i="29"/>
  <c r="AK34" i="29"/>
  <c r="AJ34" i="29"/>
  <c r="AI34"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E27" i="29"/>
  <c r="D33" i="31"/>
  <c r="D29" i="31"/>
  <c r="D25" i="31"/>
  <c r="D21" i="31"/>
  <c r="D17" i="31"/>
  <c r="D13" i="31"/>
  <c r="D29" i="29" s="1"/>
  <c r="D92" i="29" s="1"/>
  <c r="D9" i="31"/>
  <c r="B81" i="31"/>
  <c r="B77" i="31"/>
  <c r="B73" i="31"/>
  <c r="B37" i="29" s="1"/>
  <c r="A332" i="29" s="1"/>
  <c r="B36" i="29"/>
  <c r="A287" i="29" s="1"/>
  <c r="Q83" i="31"/>
  <c r="P83" i="31"/>
  <c r="Q82" i="31"/>
  <c r="P82" i="31"/>
  <c r="Q79" i="31"/>
  <c r="P79" i="31"/>
  <c r="Q78" i="31"/>
  <c r="P78" i="31"/>
  <c r="Q75" i="31"/>
  <c r="P75" i="31"/>
  <c r="Q74" i="31"/>
  <c r="P74" i="31"/>
  <c r="B61" i="31"/>
  <c r="B57" i="31"/>
  <c r="B53" i="31"/>
  <c r="B49" i="31"/>
  <c r="B45" i="31"/>
  <c r="B33" i="29" s="1"/>
  <c r="A228" i="29" s="1"/>
  <c r="B41" i="31"/>
  <c r="B33" i="31"/>
  <c r="Q35" i="31"/>
  <c r="P35" i="31"/>
  <c r="Q34" i="31"/>
  <c r="P34" i="31"/>
  <c r="Q33" i="31"/>
  <c r="P33" i="31"/>
  <c r="B29" i="31"/>
  <c r="B25" i="31"/>
  <c r="B21" i="31"/>
  <c r="B17" i="31"/>
  <c r="B13" i="31"/>
  <c r="B9" i="31"/>
  <c r="B210" i="14"/>
  <c r="B209" i="14"/>
  <c r="B208" i="14"/>
  <c r="B207" i="14"/>
  <c r="B206" i="14"/>
  <c r="AJ216" i="14" l="1"/>
  <c r="D232" i="14"/>
  <c r="E362" i="29"/>
  <c r="E348" i="29"/>
  <c r="E334" i="29"/>
  <c r="E273" i="29"/>
  <c r="E449" i="29" s="1"/>
  <c r="E491" i="29"/>
  <c r="F32" i="29"/>
  <c r="E317" i="29"/>
  <c r="E289" i="29"/>
  <c r="E303" i="29"/>
  <c r="D108" i="29"/>
  <c r="D94" i="29"/>
  <c r="D122" i="29"/>
  <c r="E33" i="29"/>
  <c r="F33" i="29" s="1"/>
  <c r="AI215" i="14"/>
  <c r="C152" i="52"/>
  <c r="F37" i="29"/>
  <c r="F332" i="29" s="1"/>
  <c r="F35" i="29"/>
  <c r="D64" i="52" l="1"/>
  <c r="AJ215" i="14"/>
  <c r="E279" i="29"/>
  <c r="E455" i="29" s="1"/>
  <c r="E274" i="29"/>
  <c r="E450" i="29" s="1"/>
  <c r="E337" i="29"/>
  <c r="E335" i="29"/>
  <c r="E336" i="29"/>
  <c r="E338" i="29"/>
  <c r="E345" i="29"/>
  <c r="E344" i="29"/>
  <c r="E343" i="29"/>
  <c r="E346" i="29"/>
  <c r="E340" i="29"/>
  <c r="E342" i="29"/>
  <c r="E341" i="29"/>
  <c r="E339" i="29"/>
  <c r="F348" i="29"/>
  <c r="F334" i="29"/>
  <c r="F362" i="29"/>
  <c r="E284" i="29"/>
  <c r="E460" i="29" s="1"/>
  <c r="E350" i="29"/>
  <c r="E351" i="29"/>
  <c r="E349" i="29"/>
  <c r="E352" i="29"/>
  <c r="E356" i="29"/>
  <c r="E357" i="29"/>
  <c r="E358" i="29"/>
  <c r="E359" i="29"/>
  <c r="E360" i="29"/>
  <c r="E355" i="29"/>
  <c r="E353" i="29"/>
  <c r="E354" i="29"/>
  <c r="E363" i="29"/>
  <c r="E365" i="29"/>
  <c r="E364" i="29"/>
  <c r="E366" i="29"/>
  <c r="E373" i="29"/>
  <c r="E374" i="29"/>
  <c r="E371" i="29"/>
  <c r="E369" i="29"/>
  <c r="E370" i="29"/>
  <c r="E368" i="29"/>
  <c r="E372" i="29"/>
  <c r="E367" i="29"/>
  <c r="F273" i="29"/>
  <c r="F449" i="29" s="1"/>
  <c r="F491" i="29"/>
  <c r="E432" i="29"/>
  <c r="G32" i="29"/>
  <c r="E313" i="29"/>
  <c r="E315" i="29"/>
  <c r="E311" i="29"/>
  <c r="E307" i="29"/>
  <c r="E312" i="29"/>
  <c r="E310" i="29"/>
  <c r="E308" i="29"/>
  <c r="E306" i="29"/>
  <c r="E309" i="29"/>
  <c r="E314" i="29"/>
  <c r="E299" i="29"/>
  <c r="E297" i="29"/>
  <c r="E298" i="29"/>
  <c r="E293" i="29"/>
  <c r="E301" i="29"/>
  <c r="E295" i="29"/>
  <c r="E296" i="29"/>
  <c r="E292" i="29"/>
  <c r="E300" i="29"/>
  <c r="E294" i="29"/>
  <c r="E329" i="29"/>
  <c r="E324" i="29"/>
  <c r="E326" i="29"/>
  <c r="E327" i="29"/>
  <c r="E325" i="29"/>
  <c r="E321" i="29"/>
  <c r="E323" i="29"/>
  <c r="E320" i="29"/>
  <c r="E322" i="29"/>
  <c r="E328" i="29"/>
  <c r="E319" i="29"/>
  <c r="E318" i="29"/>
  <c r="E291" i="29"/>
  <c r="E290" i="29"/>
  <c r="E305" i="29"/>
  <c r="E304" i="29"/>
  <c r="G33" i="29"/>
  <c r="F228" i="29"/>
  <c r="D129" i="29"/>
  <c r="D128" i="29"/>
  <c r="D127" i="29"/>
  <c r="D133" i="29"/>
  <c r="D123" i="29"/>
  <c r="D130" i="29"/>
  <c r="D132" i="29"/>
  <c r="D126" i="29"/>
  <c r="D125" i="29"/>
  <c r="D131" i="29"/>
  <c r="D124" i="29"/>
  <c r="D134" i="29"/>
  <c r="D104" i="29"/>
  <c r="D97" i="29"/>
  <c r="D106" i="29"/>
  <c r="D100" i="29"/>
  <c r="D99" i="29"/>
  <c r="D105" i="29"/>
  <c r="D101" i="29"/>
  <c r="D98" i="29"/>
  <c r="D95" i="29"/>
  <c r="D96" i="29"/>
  <c r="D103" i="29"/>
  <c r="D102" i="29"/>
  <c r="D113" i="29"/>
  <c r="D114" i="29"/>
  <c r="D115" i="29"/>
  <c r="D111" i="29"/>
  <c r="D120" i="29"/>
  <c r="D119" i="29"/>
  <c r="D117" i="29"/>
  <c r="D116" i="29"/>
  <c r="D110" i="29"/>
  <c r="D118" i="29"/>
  <c r="D109" i="29"/>
  <c r="D112" i="29"/>
  <c r="G37" i="29"/>
  <c r="G332" i="29" s="1"/>
  <c r="G35" i="29"/>
  <c r="G240" i="14"/>
  <c r="O240" i="14"/>
  <c r="W240" i="14"/>
  <c r="AE240" i="14"/>
  <c r="C236" i="14"/>
  <c r="F211" i="14"/>
  <c r="E239" i="14" s="1"/>
  <c r="G211" i="14"/>
  <c r="F239" i="14" s="1"/>
  <c r="H211" i="14"/>
  <c r="G239" i="14" s="1"/>
  <c r="I211" i="14"/>
  <c r="H239" i="14" s="1"/>
  <c r="J211" i="14"/>
  <c r="I239" i="14" s="1"/>
  <c r="K211" i="14"/>
  <c r="J239" i="14" s="1"/>
  <c r="L211" i="14"/>
  <c r="K239" i="14" s="1"/>
  <c r="M211" i="14"/>
  <c r="L239" i="14" s="1"/>
  <c r="N211" i="14"/>
  <c r="M239" i="14" s="1"/>
  <c r="O211" i="14"/>
  <c r="N239" i="14" s="1"/>
  <c r="P211" i="14"/>
  <c r="O239" i="14" s="1"/>
  <c r="Q211" i="14"/>
  <c r="P239" i="14" s="1"/>
  <c r="R211" i="14"/>
  <c r="Q239" i="14" s="1"/>
  <c r="S211" i="14"/>
  <c r="R239" i="14" s="1"/>
  <c r="T211" i="14"/>
  <c r="S239" i="14" s="1"/>
  <c r="U211" i="14"/>
  <c r="T239" i="14" s="1"/>
  <c r="V211" i="14"/>
  <c r="U239" i="14" s="1"/>
  <c r="W211" i="14"/>
  <c r="V239" i="14" s="1"/>
  <c r="X211" i="14"/>
  <c r="W239" i="14" s="1"/>
  <c r="Y211" i="14"/>
  <c r="X239" i="14" s="1"/>
  <c r="Z211" i="14"/>
  <c r="Y239" i="14" s="1"/>
  <c r="AA211" i="14"/>
  <c r="Z239" i="14" s="1"/>
  <c r="AB211" i="14"/>
  <c r="AA239" i="14" s="1"/>
  <c r="AC211" i="14"/>
  <c r="AB239" i="14" s="1"/>
  <c r="AD211" i="14"/>
  <c r="AC239" i="14" s="1"/>
  <c r="AE211" i="14"/>
  <c r="AD239" i="14" s="1"/>
  <c r="AF211" i="14"/>
  <c r="AE239" i="14" s="1"/>
  <c r="AG211" i="14"/>
  <c r="AF239" i="14" s="1"/>
  <c r="AH211" i="14"/>
  <c r="AG239" i="14" s="1"/>
  <c r="E211" i="14"/>
  <c r="D239" i="14" s="1"/>
  <c r="D240" i="14"/>
  <c r="E240" i="14"/>
  <c r="F240" i="14"/>
  <c r="H240" i="14"/>
  <c r="I240" i="14"/>
  <c r="J240" i="14"/>
  <c r="K240" i="14"/>
  <c r="L240" i="14"/>
  <c r="M240" i="14"/>
  <c r="N240" i="14"/>
  <c r="P240" i="14"/>
  <c r="Q240" i="14"/>
  <c r="R240" i="14"/>
  <c r="S240" i="14"/>
  <c r="T240" i="14"/>
  <c r="U240" i="14"/>
  <c r="V240" i="14"/>
  <c r="X240" i="14"/>
  <c r="Y240" i="14"/>
  <c r="Z240" i="14"/>
  <c r="AA240" i="14"/>
  <c r="AB240" i="14"/>
  <c r="AC240" i="14"/>
  <c r="AD240" i="14"/>
  <c r="AF240" i="14"/>
  <c r="AG240" i="14"/>
  <c r="E276" i="29" l="1"/>
  <c r="E278" i="29"/>
  <c r="E282" i="29"/>
  <c r="E458" i="29" s="1"/>
  <c r="E281" i="29"/>
  <c r="E286" i="29" s="1"/>
  <c r="E277" i="29"/>
  <c r="E283" i="29"/>
  <c r="E459" i="29" s="1"/>
  <c r="G348" i="29"/>
  <c r="G334" i="29"/>
  <c r="G362" i="29"/>
  <c r="F365" i="29"/>
  <c r="F366" i="29"/>
  <c r="F363" i="29"/>
  <c r="F364" i="29"/>
  <c r="F374" i="29"/>
  <c r="F373" i="29"/>
  <c r="F369" i="29"/>
  <c r="F368" i="29"/>
  <c r="F370" i="29"/>
  <c r="F372" i="29"/>
  <c r="F371" i="29"/>
  <c r="F367" i="29"/>
  <c r="F335" i="29"/>
  <c r="F336" i="29"/>
  <c r="F338" i="29"/>
  <c r="F337" i="29"/>
  <c r="F345" i="29"/>
  <c r="F344" i="29"/>
  <c r="F343" i="29"/>
  <c r="F346" i="29"/>
  <c r="F341" i="29"/>
  <c r="F340" i="29"/>
  <c r="F342" i="29"/>
  <c r="F339" i="29"/>
  <c r="F284" i="29"/>
  <c r="F460" i="29" s="1"/>
  <c r="F351" i="29"/>
  <c r="F352" i="29"/>
  <c r="F349" i="29"/>
  <c r="F350" i="29"/>
  <c r="F356" i="29"/>
  <c r="F359" i="29"/>
  <c r="F360" i="29"/>
  <c r="F357" i="29"/>
  <c r="F358" i="29"/>
  <c r="F354" i="29"/>
  <c r="F353" i="29"/>
  <c r="F355" i="29"/>
  <c r="E375" i="29"/>
  <c r="E376" i="29" s="1"/>
  <c r="E495" i="29"/>
  <c r="E330" i="29"/>
  <c r="E331" i="29" s="1"/>
  <c r="E454" i="29"/>
  <c r="G273" i="29"/>
  <c r="G449" i="29" s="1"/>
  <c r="G491" i="29"/>
  <c r="E453" i="29"/>
  <c r="F279" i="29"/>
  <c r="F455" i="29" s="1"/>
  <c r="F274" i="29"/>
  <c r="F450" i="29" s="1"/>
  <c r="H32" i="29"/>
  <c r="F244" i="29"/>
  <c r="F230" i="29"/>
  <c r="F258" i="29"/>
  <c r="H33" i="29"/>
  <c r="G228" i="29"/>
  <c r="D135" i="29"/>
  <c r="D136" i="29" s="1"/>
  <c r="H37" i="29"/>
  <c r="H332" i="29" s="1"/>
  <c r="H35" i="29"/>
  <c r="E457" i="29" l="1"/>
  <c r="E275" i="29"/>
  <c r="E451" i="29" s="1"/>
  <c r="E492" i="29"/>
  <c r="E452" i="29"/>
  <c r="E493" i="29"/>
  <c r="F495" i="29"/>
  <c r="E280" i="29"/>
  <c r="E456" i="29" s="1"/>
  <c r="E494" i="29"/>
  <c r="G279" i="29"/>
  <c r="G455" i="29" s="1"/>
  <c r="G274" i="29"/>
  <c r="G450" i="29" s="1"/>
  <c r="G284" i="29"/>
  <c r="G460" i="29" s="1"/>
  <c r="F278" i="29"/>
  <c r="F454" i="29" s="1"/>
  <c r="F276" i="29"/>
  <c r="F452" i="29" s="1"/>
  <c r="F375" i="29"/>
  <c r="F376" i="29" s="1"/>
  <c r="G363" i="29"/>
  <c r="G365" i="29"/>
  <c r="G366" i="29"/>
  <c r="G364" i="29"/>
  <c r="G373" i="29"/>
  <c r="G374" i="29"/>
  <c r="G372" i="29"/>
  <c r="G370" i="29"/>
  <c r="G371" i="29"/>
  <c r="G369" i="29"/>
  <c r="G368" i="29"/>
  <c r="G367" i="29"/>
  <c r="G350" i="29"/>
  <c r="G349" i="29"/>
  <c r="G351" i="29"/>
  <c r="G352" i="29"/>
  <c r="G356" i="29"/>
  <c r="G357" i="29"/>
  <c r="G359" i="29"/>
  <c r="G358" i="29"/>
  <c r="G360" i="29"/>
  <c r="G354" i="29"/>
  <c r="G353" i="29"/>
  <c r="G355" i="29"/>
  <c r="G338" i="29"/>
  <c r="G337" i="29"/>
  <c r="G336" i="29"/>
  <c r="G335" i="29"/>
  <c r="G345" i="29"/>
  <c r="G344" i="29"/>
  <c r="G346" i="29"/>
  <c r="G343" i="29"/>
  <c r="G340" i="29"/>
  <c r="G341" i="29"/>
  <c r="G342" i="29"/>
  <c r="G339" i="29"/>
  <c r="H348" i="29"/>
  <c r="H362" i="29"/>
  <c r="H334" i="29"/>
  <c r="F277" i="29"/>
  <c r="F453" i="29" s="1"/>
  <c r="F282" i="29"/>
  <c r="F283" i="29"/>
  <c r="F459" i="29" s="1"/>
  <c r="F281" i="29"/>
  <c r="H273" i="29"/>
  <c r="H449" i="29" s="1"/>
  <c r="H491" i="29"/>
  <c r="I32" i="29"/>
  <c r="F266" i="29"/>
  <c r="F262" i="29"/>
  <c r="F264" i="29"/>
  <c r="F265" i="29"/>
  <c r="F268" i="29"/>
  <c r="F269" i="29"/>
  <c r="F267" i="29"/>
  <c r="F270" i="29"/>
  <c r="F263" i="29"/>
  <c r="F261" i="29"/>
  <c r="F234" i="29"/>
  <c r="F241" i="29"/>
  <c r="F233" i="29"/>
  <c r="F242" i="29"/>
  <c r="F237" i="29"/>
  <c r="F239" i="29"/>
  <c r="F238" i="29"/>
  <c r="F240" i="29"/>
  <c r="F235" i="29"/>
  <c r="F236" i="29"/>
  <c r="G230" i="29"/>
  <c r="G258" i="29"/>
  <c r="G244" i="29"/>
  <c r="F251" i="29"/>
  <c r="F254" i="29"/>
  <c r="F253" i="29"/>
  <c r="F248" i="29"/>
  <c r="F249" i="29"/>
  <c r="F250" i="29"/>
  <c r="F255" i="29"/>
  <c r="F247" i="29"/>
  <c r="F256" i="29"/>
  <c r="F252" i="29"/>
  <c r="I33" i="29"/>
  <c r="H228" i="29"/>
  <c r="F232" i="29"/>
  <c r="F231" i="29"/>
  <c r="F260" i="29"/>
  <c r="F259" i="29"/>
  <c r="F246" i="29"/>
  <c r="F245" i="29"/>
  <c r="I37" i="29"/>
  <c r="I332" i="29" s="1"/>
  <c r="I35" i="29"/>
  <c r="E462" i="29" l="1"/>
  <c r="G281" i="29"/>
  <c r="G282" i="29"/>
  <c r="G458" i="29" s="1"/>
  <c r="G283" i="29"/>
  <c r="G459" i="29" s="1"/>
  <c r="G278" i="29"/>
  <c r="G276" i="29"/>
  <c r="G286" i="29" s="1"/>
  <c r="E285" i="29"/>
  <c r="G277" i="29"/>
  <c r="G453" i="29" s="1"/>
  <c r="E527" i="29"/>
  <c r="F493" i="29"/>
  <c r="G495" i="29"/>
  <c r="F492" i="29"/>
  <c r="F275" i="29"/>
  <c r="F451" i="29" s="1"/>
  <c r="H351" i="29"/>
  <c r="H352" i="29"/>
  <c r="H350" i="29"/>
  <c r="H349" i="29"/>
  <c r="H356" i="29"/>
  <c r="H360" i="29"/>
  <c r="H358" i="29"/>
  <c r="H359" i="29"/>
  <c r="H357" i="29"/>
  <c r="H355" i="29"/>
  <c r="H354" i="29"/>
  <c r="H353" i="29"/>
  <c r="G375" i="29"/>
  <c r="G376" i="29" s="1"/>
  <c r="F458" i="29"/>
  <c r="I362" i="29"/>
  <c r="I348" i="29"/>
  <c r="I334" i="29"/>
  <c r="H335" i="29"/>
  <c r="H336" i="29"/>
  <c r="H338" i="29"/>
  <c r="H337" i="29"/>
  <c r="H345" i="29"/>
  <c r="H346" i="29"/>
  <c r="H344" i="29"/>
  <c r="H343" i="29"/>
  <c r="H342" i="29"/>
  <c r="H341" i="29"/>
  <c r="H340" i="29"/>
  <c r="H339" i="29"/>
  <c r="H363" i="29"/>
  <c r="H364" i="29"/>
  <c r="H366" i="29"/>
  <c r="H365" i="29"/>
  <c r="H373" i="29"/>
  <c r="H374" i="29"/>
  <c r="H369" i="29"/>
  <c r="H372" i="29"/>
  <c r="H368" i="29"/>
  <c r="H371" i="29"/>
  <c r="H370" i="29"/>
  <c r="H367" i="29"/>
  <c r="F280" i="29"/>
  <c r="F456" i="29" s="1"/>
  <c r="F494" i="29"/>
  <c r="F457" i="29"/>
  <c r="F462" i="29" s="1"/>
  <c r="H284" i="29"/>
  <c r="F286" i="29"/>
  <c r="I273" i="29"/>
  <c r="I449" i="29" s="1"/>
  <c r="I491" i="29"/>
  <c r="H279" i="29"/>
  <c r="H455" i="29" s="1"/>
  <c r="H274" i="29"/>
  <c r="H450" i="29" s="1"/>
  <c r="E461" i="29"/>
  <c r="E463" i="29" s="1"/>
  <c r="G457" i="29"/>
  <c r="J32" i="29"/>
  <c r="H258" i="29"/>
  <c r="H244" i="29"/>
  <c r="H230" i="29"/>
  <c r="G252" i="29"/>
  <c r="G247" i="29"/>
  <c r="G249" i="29"/>
  <c r="G254" i="29"/>
  <c r="G250" i="29"/>
  <c r="G255" i="29"/>
  <c r="G251" i="29"/>
  <c r="G256" i="29"/>
  <c r="G248" i="29"/>
  <c r="G253" i="29"/>
  <c r="G267" i="29"/>
  <c r="G263" i="29"/>
  <c r="G265" i="29"/>
  <c r="G266" i="29"/>
  <c r="G261" i="29"/>
  <c r="G270" i="29"/>
  <c r="G268" i="29"/>
  <c r="G269" i="29"/>
  <c r="G264" i="29"/>
  <c r="G262" i="29"/>
  <c r="G235" i="29"/>
  <c r="G241" i="29"/>
  <c r="G233" i="29"/>
  <c r="G238" i="29"/>
  <c r="G242" i="29"/>
  <c r="G234" i="29"/>
  <c r="G239" i="29"/>
  <c r="G236" i="29"/>
  <c r="G240" i="29"/>
  <c r="G237" i="29"/>
  <c r="J33" i="29"/>
  <c r="I228" i="29"/>
  <c r="G260" i="29"/>
  <c r="G259" i="29"/>
  <c r="F271" i="29"/>
  <c r="F272" i="29" s="1"/>
  <c r="G246" i="29"/>
  <c r="G245" i="29"/>
  <c r="G232" i="29"/>
  <c r="G231" i="29"/>
  <c r="J37" i="29"/>
  <c r="J332" i="29" s="1"/>
  <c r="J35" i="29"/>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AG66" i="14"/>
  <c r="AH66" i="14"/>
  <c r="F67" i="14"/>
  <c r="G67" i="14"/>
  <c r="H67" i="14"/>
  <c r="I67" i="14"/>
  <c r="J67" i="14"/>
  <c r="K67" i="14"/>
  <c r="L67" i="14"/>
  <c r="M67" i="14"/>
  <c r="N67" i="14"/>
  <c r="O67" i="14"/>
  <c r="P67" i="14"/>
  <c r="Q67" i="14"/>
  <c r="R67" i="14"/>
  <c r="S67" i="14"/>
  <c r="T67" i="14"/>
  <c r="U67" i="14"/>
  <c r="V67" i="14"/>
  <c r="W67" i="14"/>
  <c r="X67" i="14"/>
  <c r="Y67" i="14"/>
  <c r="Z67" i="14"/>
  <c r="AA67" i="14"/>
  <c r="AB67" i="14"/>
  <c r="AC67" i="14"/>
  <c r="AD67" i="14"/>
  <c r="AE67" i="14"/>
  <c r="AF67" i="14"/>
  <c r="AG67" i="14"/>
  <c r="AH67" i="14"/>
  <c r="F68" i="14"/>
  <c r="G68" i="14"/>
  <c r="H68" i="14"/>
  <c r="I68" i="14"/>
  <c r="J68" i="14"/>
  <c r="K68" i="14"/>
  <c r="L68" i="14"/>
  <c r="M68" i="14"/>
  <c r="N68" i="14"/>
  <c r="O68" i="14"/>
  <c r="P68" i="14"/>
  <c r="Q68" i="14"/>
  <c r="R68" i="14"/>
  <c r="S68" i="14"/>
  <c r="T68" i="14"/>
  <c r="U68" i="14"/>
  <c r="V68" i="14"/>
  <c r="W68" i="14"/>
  <c r="X68" i="14"/>
  <c r="Y68" i="14"/>
  <c r="Z68" i="14"/>
  <c r="AA68" i="14"/>
  <c r="AB68" i="14"/>
  <c r="AC68" i="14"/>
  <c r="AD68" i="14"/>
  <c r="AE68" i="14"/>
  <c r="AF68" i="14"/>
  <c r="AG68" i="14"/>
  <c r="AH68"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AG69" i="14"/>
  <c r="AH69" i="14"/>
  <c r="F70" i="14"/>
  <c r="G70" i="14"/>
  <c r="H70" i="14"/>
  <c r="I70" i="14"/>
  <c r="J70" i="14"/>
  <c r="K70" i="14"/>
  <c r="L70" i="14"/>
  <c r="M70" i="14"/>
  <c r="N70" i="14"/>
  <c r="O70" i="14"/>
  <c r="P70" i="14"/>
  <c r="Q70" i="14"/>
  <c r="R70" i="14"/>
  <c r="S70" i="14"/>
  <c r="T70" i="14"/>
  <c r="U70" i="14"/>
  <c r="V70" i="14"/>
  <c r="W70" i="14"/>
  <c r="X70" i="14"/>
  <c r="Y70" i="14"/>
  <c r="Z70" i="14"/>
  <c r="AA70" i="14"/>
  <c r="AB70" i="14"/>
  <c r="AC70" i="14"/>
  <c r="AD70" i="14"/>
  <c r="AE70" i="14"/>
  <c r="AF70" i="14"/>
  <c r="AG70" i="14"/>
  <c r="AH70" i="14"/>
  <c r="B67" i="14"/>
  <c r="B68" i="14"/>
  <c r="B69" i="14"/>
  <c r="B70" i="14"/>
  <c r="B66" i="14"/>
  <c r="Y188" i="14"/>
  <c r="Y504" i="29" s="1"/>
  <c r="Z188" i="14"/>
  <c r="Z504" i="29" s="1"/>
  <c r="AA188" i="14"/>
  <c r="AA504" i="29" s="1"/>
  <c r="AB188" i="14"/>
  <c r="AB504" i="29" s="1"/>
  <c r="AC188" i="14"/>
  <c r="AC504" i="29" s="1"/>
  <c r="AD188" i="14"/>
  <c r="AD504" i="29" s="1"/>
  <c r="AE188" i="14"/>
  <c r="AE504" i="29" s="1"/>
  <c r="AF188" i="14"/>
  <c r="AF504" i="29" s="1"/>
  <c r="AG188" i="14"/>
  <c r="AG504" i="29" s="1"/>
  <c r="AH188" i="14"/>
  <c r="AH504" i="29" s="1"/>
  <c r="Y192" i="14"/>
  <c r="Z192" i="14"/>
  <c r="AA192" i="14"/>
  <c r="AB192" i="14"/>
  <c r="AC192" i="14"/>
  <c r="AD192" i="14"/>
  <c r="AE192" i="14"/>
  <c r="AF192" i="14"/>
  <c r="AG192" i="14"/>
  <c r="AH192"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AD196" i="14"/>
  <c r="AE196" i="14"/>
  <c r="AF196" i="14"/>
  <c r="AG196" i="14"/>
  <c r="AH196" i="14"/>
  <c r="E196" i="14"/>
  <c r="D198" i="14"/>
  <c r="E197" i="14" s="1"/>
  <c r="D194" i="14"/>
  <c r="E193" i="14" s="1"/>
  <c r="E40" i="29" s="1"/>
  <c r="D190" i="14"/>
  <c r="B195" i="14"/>
  <c r="B191" i="14"/>
  <c r="B187" i="14"/>
  <c r="Y164" i="14"/>
  <c r="Z164" i="14"/>
  <c r="AA164" i="14"/>
  <c r="AB164" i="14"/>
  <c r="AC164" i="14"/>
  <c r="AD164" i="14"/>
  <c r="AE164" i="14"/>
  <c r="AF164" i="14"/>
  <c r="AG164" i="14"/>
  <c r="AH164" i="14"/>
  <c r="Y170" i="14"/>
  <c r="Z170" i="14"/>
  <c r="AA170" i="14"/>
  <c r="AB170" i="14"/>
  <c r="AC170" i="14"/>
  <c r="AD170" i="14"/>
  <c r="AE170" i="14"/>
  <c r="AF170" i="14"/>
  <c r="AG170" i="14"/>
  <c r="AH170" i="14"/>
  <c r="I173" i="14"/>
  <c r="J173" i="14"/>
  <c r="K173" i="14"/>
  <c r="L173" i="14"/>
  <c r="M173" i="14"/>
  <c r="N173" i="14"/>
  <c r="O173" i="14"/>
  <c r="P173" i="14"/>
  <c r="Q173" i="14"/>
  <c r="R173" i="14"/>
  <c r="S173" i="14"/>
  <c r="T173" i="14"/>
  <c r="U173" i="14"/>
  <c r="V173" i="14"/>
  <c r="W173" i="14"/>
  <c r="X173" i="14"/>
  <c r="Y173" i="14"/>
  <c r="Z173" i="14"/>
  <c r="AA173" i="14"/>
  <c r="AB173" i="14"/>
  <c r="AC173" i="14"/>
  <c r="AD173" i="14"/>
  <c r="AE173" i="14"/>
  <c r="AF173" i="14"/>
  <c r="AG173" i="14"/>
  <c r="AH173" i="14"/>
  <c r="Y179" i="14"/>
  <c r="AG179" i="14"/>
  <c r="T182" i="14"/>
  <c r="U182" i="14"/>
  <c r="V182" i="14"/>
  <c r="W182" i="14"/>
  <c r="X182" i="14"/>
  <c r="Y182" i="14"/>
  <c r="Z182" i="14"/>
  <c r="AA182" i="14"/>
  <c r="AB182" i="14"/>
  <c r="AC182" i="14"/>
  <c r="AD182" i="14"/>
  <c r="AE182" i="14"/>
  <c r="AF182" i="14"/>
  <c r="AG182" i="14"/>
  <c r="AH182" i="14"/>
  <c r="D183" i="14"/>
  <c r="I182" i="14" s="1"/>
  <c r="D180" i="14"/>
  <c r="J179" i="14" s="1"/>
  <c r="D177" i="14"/>
  <c r="G176" i="14" s="1"/>
  <c r="D174" i="14"/>
  <c r="F173" i="14" s="1"/>
  <c r="D171" i="14"/>
  <c r="F170" i="14" s="1"/>
  <c r="D168" i="14"/>
  <c r="E167" i="14" s="1"/>
  <c r="L164" i="14"/>
  <c r="B181" i="14"/>
  <c r="B178" i="14"/>
  <c r="B175" i="14"/>
  <c r="B172" i="14"/>
  <c r="B169" i="14"/>
  <c r="B166" i="14"/>
  <c r="B163" i="14"/>
  <c r="F46" i="14"/>
  <c r="G46" i="14"/>
  <c r="H46" i="14"/>
  <c r="I46" i="14"/>
  <c r="J46" i="14"/>
  <c r="K46" i="14"/>
  <c r="L46" i="14"/>
  <c r="M46" i="14"/>
  <c r="N46" i="14"/>
  <c r="O46" i="14"/>
  <c r="P46" i="14"/>
  <c r="Q46" i="14"/>
  <c r="R46" i="14"/>
  <c r="S46" i="14"/>
  <c r="T46" i="14"/>
  <c r="U46" i="14"/>
  <c r="V46" i="14"/>
  <c r="W46" i="14"/>
  <c r="X46" i="14"/>
  <c r="Y46" i="14"/>
  <c r="Z46" i="14"/>
  <c r="AA46" i="14"/>
  <c r="AB46" i="14"/>
  <c r="AC46" i="14"/>
  <c r="AD46" i="14"/>
  <c r="AE46" i="14"/>
  <c r="AF46" i="14"/>
  <c r="AG46" i="14"/>
  <c r="AH46" i="14"/>
  <c r="F48" i="14"/>
  <c r="G48" i="14"/>
  <c r="H48" i="14"/>
  <c r="I48" i="14"/>
  <c r="J48" i="14"/>
  <c r="K48" i="14"/>
  <c r="L48" i="14"/>
  <c r="M48" i="14"/>
  <c r="N48" i="14"/>
  <c r="O48" i="14"/>
  <c r="P48" i="14"/>
  <c r="Q48" i="14"/>
  <c r="R48" i="14"/>
  <c r="S48" i="14"/>
  <c r="T48" i="14"/>
  <c r="U48" i="14"/>
  <c r="V48" i="14"/>
  <c r="W48" i="14"/>
  <c r="X48" i="14"/>
  <c r="Y48" i="14"/>
  <c r="Z48" i="14"/>
  <c r="AA48" i="14"/>
  <c r="AB48" i="14"/>
  <c r="AC48" i="14"/>
  <c r="AD48" i="14"/>
  <c r="AE48" i="14"/>
  <c r="AF48" i="14"/>
  <c r="AG48" i="14"/>
  <c r="AH48" i="14"/>
  <c r="F50" i="14"/>
  <c r="G50" i="14"/>
  <c r="H50" i="14"/>
  <c r="I50" i="14"/>
  <c r="J50" i="14"/>
  <c r="K50" i="14"/>
  <c r="L50" i="14"/>
  <c r="M50" i="14"/>
  <c r="N50" i="14"/>
  <c r="O50" i="14"/>
  <c r="P50" i="14"/>
  <c r="Q50" i="14"/>
  <c r="R50" i="14"/>
  <c r="S50" i="14"/>
  <c r="T50" i="14"/>
  <c r="U50" i="14"/>
  <c r="V50" i="14"/>
  <c r="W50" i="14"/>
  <c r="X50" i="14"/>
  <c r="Y50" i="14"/>
  <c r="Z50" i="14"/>
  <c r="AA50" i="14"/>
  <c r="AB50" i="14"/>
  <c r="AC50" i="14"/>
  <c r="AD50" i="14"/>
  <c r="AE50" i="14"/>
  <c r="AF50" i="14"/>
  <c r="AG50" i="14"/>
  <c r="AH50" i="14"/>
  <c r="F52" i="14"/>
  <c r="G52" i="14"/>
  <c r="H52" i="14"/>
  <c r="I52" i="14"/>
  <c r="J52" i="14"/>
  <c r="K52" i="14"/>
  <c r="L52" i="14"/>
  <c r="M52" i="14"/>
  <c r="N52" i="14"/>
  <c r="O52" i="14"/>
  <c r="P52" i="14"/>
  <c r="Q52" i="14"/>
  <c r="R52" i="14"/>
  <c r="S52" i="14"/>
  <c r="T52" i="14"/>
  <c r="U52" i="14"/>
  <c r="V52" i="14"/>
  <c r="W52" i="14"/>
  <c r="X52" i="14"/>
  <c r="Y52" i="14"/>
  <c r="Z52" i="14"/>
  <c r="AA52" i="14"/>
  <c r="AB52" i="14"/>
  <c r="AC52" i="14"/>
  <c r="AD52" i="14"/>
  <c r="AE52" i="14"/>
  <c r="AF52" i="14"/>
  <c r="AG52" i="14"/>
  <c r="AH52" i="14"/>
  <c r="F54" i="14"/>
  <c r="G54" i="14"/>
  <c r="H54" i="14"/>
  <c r="I54" i="14"/>
  <c r="J54" i="14"/>
  <c r="K54" i="14"/>
  <c r="L54" i="14"/>
  <c r="M54" i="14"/>
  <c r="N54" i="14"/>
  <c r="O54" i="14"/>
  <c r="P54" i="14"/>
  <c r="Q54" i="14"/>
  <c r="R54" i="14"/>
  <c r="S54" i="14"/>
  <c r="T54" i="14"/>
  <c r="U54" i="14"/>
  <c r="V54" i="14"/>
  <c r="W54" i="14"/>
  <c r="X54" i="14"/>
  <c r="Y54" i="14"/>
  <c r="Z54" i="14"/>
  <c r="AA54" i="14"/>
  <c r="AB54" i="14"/>
  <c r="AC54" i="14"/>
  <c r="AD54" i="14"/>
  <c r="AE54" i="14"/>
  <c r="AF54" i="14"/>
  <c r="AG54" i="14"/>
  <c r="AH54" i="14"/>
  <c r="F56" i="14"/>
  <c r="G56" i="14"/>
  <c r="H56" i="14"/>
  <c r="I56" i="14"/>
  <c r="J56" i="14"/>
  <c r="K56" i="14"/>
  <c r="L56" i="14"/>
  <c r="M56" i="14"/>
  <c r="N56" i="14"/>
  <c r="O56" i="14"/>
  <c r="P56" i="14"/>
  <c r="Q56" i="14"/>
  <c r="R56" i="14"/>
  <c r="S56" i="14"/>
  <c r="T56" i="14"/>
  <c r="U56" i="14"/>
  <c r="V56" i="14"/>
  <c r="W56" i="14"/>
  <c r="X56" i="14"/>
  <c r="Y56" i="14"/>
  <c r="Z56" i="14"/>
  <c r="AA56" i="14"/>
  <c r="AB56" i="14"/>
  <c r="AC56" i="14"/>
  <c r="AD56" i="14"/>
  <c r="AE56" i="14"/>
  <c r="AF56" i="14"/>
  <c r="AG56" i="14"/>
  <c r="AH56"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AG58" i="14"/>
  <c r="AH58" i="14"/>
  <c r="E58" i="14"/>
  <c r="E56" i="14"/>
  <c r="E54" i="14"/>
  <c r="E52" i="14"/>
  <c r="E50" i="14"/>
  <c r="E48" i="14"/>
  <c r="E46" i="14"/>
  <c r="B58" i="14"/>
  <c r="B57" i="14"/>
  <c r="B56" i="14"/>
  <c r="B55" i="14"/>
  <c r="B54" i="14"/>
  <c r="B53" i="14"/>
  <c r="B52" i="14"/>
  <c r="B51" i="14"/>
  <c r="B49" i="14"/>
  <c r="B48" i="14"/>
  <c r="B47" i="14"/>
  <c r="B50" i="14"/>
  <c r="B46" i="14"/>
  <c r="B45" i="14"/>
  <c r="E40" i="14"/>
  <c r="E37" i="14"/>
  <c r="E34" i="14"/>
  <c r="E31" i="14"/>
  <c r="E30" i="14" s="1"/>
  <c r="E28" i="14"/>
  <c r="C40" i="14"/>
  <c r="C37" i="14"/>
  <c r="C34" i="14"/>
  <c r="C31" i="14"/>
  <c r="C28" i="14"/>
  <c r="B39" i="14"/>
  <c r="B36" i="14"/>
  <c r="B33" i="14"/>
  <c r="B30" i="14"/>
  <c r="B27" i="14"/>
  <c r="F24" i="14"/>
  <c r="G24" i="14"/>
  <c r="H24" i="14"/>
  <c r="I24" i="14"/>
  <c r="J24" i="14"/>
  <c r="K24" i="14"/>
  <c r="L24" i="14"/>
  <c r="M24" i="14"/>
  <c r="N24" i="14"/>
  <c r="O24" i="14"/>
  <c r="P24" i="14"/>
  <c r="Q24" i="14"/>
  <c r="R24" i="14"/>
  <c r="S24" i="14"/>
  <c r="T24" i="14"/>
  <c r="U24" i="14"/>
  <c r="V24" i="14"/>
  <c r="W24" i="14"/>
  <c r="X24" i="14"/>
  <c r="Y24" i="14"/>
  <c r="Z24" i="14"/>
  <c r="AA24" i="14"/>
  <c r="AB24" i="14"/>
  <c r="AC24" i="14"/>
  <c r="AD24" i="14"/>
  <c r="AE24" i="14"/>
  <c r="AF24" i="14"/>
  <c r="AG24" i="14"/>
  <c r="AH24" i="14"/>
  <c r="E24"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AG19" i="14"/>
  <c r="AH19" i="14"/>
  <c r="E19" i="14"/>
  <c r="E18" i="14"/>
  <c r="F6" i="14"/>
  <c r="G6" i="14"/>
  <c r="H6" i="14"/>
  <c r="I6" i="14"/>
  <c r="J6" i="14"/>
  <c r="K6" i="14"/>
  <c r="L6" i="14"/>
  <c r="M6" i="14"/>
  <c r="N6" i="14"/>
  <c r="O6" i="14"/>
  <c r="P6" i="14"/>
  <c r="Q6" i="14"/>
  <c r="R6" i="14"/>
  <c r="S6" i="14"/>
  <c r="T6" i="14"/>
  <c r="U6" i="14"/>
  <c r="V6" i="14"/>
  <c r="W6" i="14"/>
  <c r="X6" i="14"/>
  <c r="Y6" i="14"/>
  <c r="Z6" i="14"/>
  <c r="AA6" i="14"/>
  <c r="AB6" i="14"/>
  <c r="AC6" i="14"/>
  <c r="AD6" i="14"/>
  <c r="AE6" i="14"/>
  <c r="AF6" i="14"/>
  <c r="AG6" i="14"/>
  <c r="AH6" i="14"/>
  <c r="F7" i="14"/>
  <c r="G7" i="14"/>
  <c r="H7" i="14"/>
  <c r="I7" i="14"/>
  <c r="J7" i="14"/>
  <c r="K7" i="14"/>
  <c r="L7" i="14"/>
  <c r="M7" i="14"/>
  <c r="N7" i="14"/>
  <c r="O7" i="14"/>
  <c r="P7" i="14"/>
  <c r="Q7" i="14"/>
  <c r="R7" i="14"/>
  <c r="S7" i="14"/>
  <c r="T7" i="14"/>
  <c r="U7" i="14"/>
  <c r="V7" i="14"/>
  <c r="W7" i="14"/>
  <c r="X7" i="14"/>
  <c r="Y7" i="14"/>
  <c r="Z7" i="14"/>
  <c r="AA7" i="14"/>
  <c r="AB7" i="14"/>
  <c r="AC7" i="14"/>
  <c r="AD7" i="14"/>
  <c r="AE7" i="14"/>
  <c r="AF7" i="14"/>
  <c r="AG7" i="14"/>
  <c r="AH7" i="14"/>
  <c r="E7" i="14"/>
  <c r="E26" i="14" s="1"/>
  <c r="E6" i="14"/>
  <c r="B9" i="14"/>
  <c r="B10" i="14"/>
  <c r="B11" i="14"/>
  <c r="B12" i="14"/>
  <c r="B63" i="14" s="1"/>
  <c r="B13" i="14"/>
  <c r="B8" i="14"/>
  <c r="G492" i="29" l="1"/>
  <c r="G452" i="29"/>
  <c r="G494" i="29"/>
  <c r="G454" i="29"/>
  <c r="G280" i="29"/>
  <c r="G456" i="29" s="1"/>
  <c r="H277" i="29"/>
  <c r="G493" i="29"/>
  <c r="F527" i="29"/>
  <c r="H278" i="29"/>
  <c r="H454" i="29" s="1"/>
  <c r="H276" i="29"/>
  <c r="G275" i="29"/>
  <c r="G451" i="29" s="1"/>
  <c r="H281" i="29"/>
  <c r="H492" i="29" s="1"/>
  <c r="I274" i="29"/>
  <c r="I450" i="29" s="1"/>
  <c r="I365" i="29"/>
  <c r="I366" i="29"/>
  <c r="I363" i="29"/>
  <c r="I364" i="29"/>
  <c r="I374" i="29"/>
  <c r="I373" i="29"/>
  <c r="I371" i="29"/>
  <c r="I369" i="29"/>
  <c r="I368" i="29"/>
  <c r="I372" i="29"/>
  <c r="I370" i="29"/>
  <c r="I367" i="29"/>
  <c r="F285" i="29"/>
  <c r="I284" i="29"/>
  <c r="I495" i="29" s="1"/>
  <c r="H375" i="29"/>
  <c r="H376" i="29" s="1"/>
  <c r="I279" i="29"/>
  <c r="I455" i="29" s="1"/>
  <c r="J362" i="29"/>
  <c r="J348" i="29"/>
  <c r="J334" i="29"/>
  <c r="F461" i="29"/>
  <c r="F463" i="29" s="1"/>
  <c r="I337" i="29"/>
  <c r="I338" i="29"/>
  <c r="I336" i="29"/>
  <c r="I335" i="29"/>
  <c r="I345" i="29"/>
  <c r="I343" i="29"/>
  <c r="I346" i="29"/>
  <c r="I344" i="29"/>
  <c r="I342" i="29"/>
  <c r="I340" i="29"/>
  <c r="I341" i="29"/>
  <c r="I339" i="29"/>
  <c r="I351" i="29"/>
  <c r="I352" i="29"/>
  <c r="I349" i="29"/>
  <c r="I350" i="29"/>
  <c r="I356" i="29"/>
  <c r="I357" i="29"/>
  <c r="I359" i="29"/>
  <c r="I358" i="29"/>
  <c r="I360" i="29"/>
  <c r="I354" i="29"/>
  <c r="I355" i="29"/>
  <c r="I353" i="29"/>
  <c r="H283" i="29"/>
  <c r="H459" i="29" s="1"/>
  <c r="H282" i="29"/>
  <c r="H458" i="29" s="1"/>
  <c r="H452" i="29"/>
  <c r="J273" i="29"/>
  <c r="J449" i="29" s="1"/>
  <c r="J491" i="29"/>
  <c r="H453" i="29"/>
  <c r="H460" i="29"/>
  <c r="H495" i="29"/>
  <c r="G462" i="29"/>
  <c r="K32" i="29"/>
  <c r="I258" i="29"/>
  <c r="I244" i="29"/>
  <c r="I230" i="29"/>
  <c r="H241" i="29"/>
  <c r="H239" i="29"/>
  <c r="H234" i="29"/>
  <c r="H235" i="29"/>
  <c r="H242" i="29"/>
  <c r="H236" i="29"/>
  <c r="H233" i="29"/>
  <c r="H237" i="29"/>
  <c r="H238" i="29"/>
  <c r="H240" i="29"/>
  <c r="H249" i="29"/>
  <c r="H255" i="29"/>
  <c r="H247" i="29"/>
  <c r="H253" i="29"/>
  <c r="H256" i="29"/>
  <c r="H248" i="29"/>
  <c r="H250" i="29"/>
  <c r="H251" i="29"/>
  <c r="H252" i="29"/>
  <c r="H254" i="29"/>
  <c r="H268" i="29"/>
  <c r="H264" i="29"/>
  <c r="H266" i="29"/>
  <c r="H267" i="29"/>
  <c r="H270" i="29"/>
  <c r="H262" i="29"/>
  <c r="H269" i="29"/>
  <c r="H263" i="29"/>
  <c r="H261" i="29"/>
  <c r="H265" i="29"/>
  <c r="K33" i="29"/>
  <c r="J228" i="29"/>
  <c r="H245" i="29"/>
  <c r="H246" i="29"/>
  <c r="H231" i="29"/>
  <c r="H232" i="29"/>
  <c r="G271" i="29"/>
  <c r="G272" i="29" s="1"/>
  <c r="H259" i="29"/>
  <c r="H260" i="29"/>
  <c r="AF167" i="14"/>
  <c r="AE167" i="14"/>
  <c r="AD167" i="14"/>
  <c r="AH167" i="14"/>
  <c r="AA167" i="14"/>
  <c r="Z167" i="14"/>
  <c r="AG167" i="14"/>
  <c r="Y167" i="14"/>
  <c r="AC167" i="14"/>
  <c r="AB167" i="14"/>
  <c r="D207" i="52"/>
  <c r="C207" i="52"/>
  <c r="R164" i="14"/>
  <c r="N164" i="14"/>
  <c r="V170" i="14"/>
  <c r="J164" i="14"/>
  <c r="V164" i="14"/>
  <c r="Q167" i="14"/>
  <c r="I167" i="14"/>
  <c r="S164" i="14"/>
  <c r="K164" i="14"/>
  <c r="X167" i="14"/>
  <c r="W167" i="14"/>
  <c r="O167" i="14"/>
  <c r="Q164" i="14"/>
  <c r="I164" i="14"/>
  <c r="P167" i="14"/>
  <c r="V167" i="14"/>
  <c r="N167" i="14"/>
  <c r="X164" i="14"/>
  <c r="P164" i="14"/>
  <c r="W170" i="14"/>
  <c r="U167" i="14"/>
  <c r="M167" i="14"/>
  <c r="W164" i="14"/>
  <c r="O164" i="14"/>
  <c r="T167" i="14"/>
  <c r="N170" i="14"/>
  <c r="S167" i="14"/>
  <c r="K167" i="14"/>
  <c r="U164" i="14"/>
  <c r="M164" i="14"/>
  <c r="L167" i="14"/>
  <c r="R167" i="14"/>
  <c r="J167" i="14"/>
  <c r="T164" i="14"/>
  <c r="O170" i="14"/>
  <c r="M170" i="14"/>
  <c r="U170" i="14"/>
  <c r="T170" i="14"/>
  <c r="L170" i="14"/>
  <c r="S170" i="14"/>
  <c r="K170" i="14"/>
  <c r="R170" i="14"/>
  <c r="Q170" i="14"/>
  <c r="I170" i="14"/>
  <c r="J170" i="14"/>
  <c r="X170" i="14"/>
  <c r="P170" i="14"/>
  <c r="F182" i="14"/>
  <c r="U192" i="14"/>
  <c r="T192" i="14"/>
  <c r="S192" i="14"/>
  <c r="R192" i="14"/>
  <c r="Q192" i="14"/>
  <c r="X192" i="14"/>
  <c r="P192" i="14"/>
  <c r="W192" i="14"/>
  <c r="O192" i="14"/>
  <c r="V192" i="14"/>
  <c r="M192" i="14"/>
  <c r="L192" i="14"/>
  <c r="K192" i="14"/>
  <c r="J192" i="14"/>
  <c r="E192" i="14"/>
  <c r="I192" i="14"/>
  <c r="H192" i="14"/>
  <c r="G192" i="14"/>
  <c r="N192" i="14"/>
  <c r="F192" i="14"/>
  <c r="N182" i="14"/>
  <c r="G182" i="14"/>
  <c r="R182" i="14"/>
  <c r="O182" i="14"/>
  <c r="J182" i="14"/>
  <c r="G210" i="14"/>
  <c r="G207" i="14"/>
  <c r="G208" i="14"/>
  <c r="G209" i="14"/>
  <c r="G206" i="14"/>
  <c r="AF207" i="14"/>
  <c r="AF208" i="14"/>
  <c r="AF209" i="14"/>
  <c r="AF210" i="14"/>
  <c r="AF206" i="14"/>
  <c r="X207" i="14"/>
  <c r="X208" i="14"/>
  <c r="X209" i="14"/>
  <c r="X210" i="14"/>
  <c r="X206" i="14"/>
  <c r="P207" i="14"/>
  <c r="P208" i="14"/>
  <c r="P209" i="14"/>
  <c r="P210" i="14"/>
  <c r="P206" i="14"/>
  <c r="H207" i="14"/>
  <c r="H208" i="14"/>
  <c r="H209" i="14"/>
  <c r="H210" i="14"/>
  <c r="H206" i="14"/>
  <c r="AD210" i="14"/>
  <c r="AD207" i="14"/>
  <c r="AD208" i="14"/>
  <c r="AD206" i="14"/>
  <c r="AD209" i="14"/>
  <c r="V210" i="14"/>
  <c r="V207" i="14"/>
  <c r="V208" i="14"/>
  <c r="V206" i="14"/>
  <c r="V209" i="14"/>
  <c r="N210" i="14"/>
  <c r="N207" i="14"/>
  <c r="N208" i="14"/>
  <c r="N206" i="14"/>
  <c r="N209" i="14"/>
  <c r="F210" i="14"/>
  <c r="F207" i="14"/>
  <c r="F208" i="14"/>
  <c r="F206" i="14"/>
  <c r="F209" i="14"/>
  <c r="AE210" i="14"/>
  <c r="AE207" i="14"/>
  <c r="AE208" i="14"/>
  <c r="AE209" i="14"/>
  <c r="AE206" i="14"/>
  <c r="AC209" i="14"/>
  <c r="AC210" i="14"/>
  <c r="AC207" i="14"/>
  <c r="AC206" i="14"/>
  <c r="AC208" i="14"/>
  <c r="U209" i="14"/>
  <c r="U210" i="14"/>
  <c r="U207" i="14"/>
  <c r="U206" i="14"/>
  <c r="U208" i="14"/>
  <c r="M209" i="14"/>
  <c r="M210" i="14"/>
  <c r="M207" i="14"/>
  <c r="M206" i="14"/>
  <c r="M208" i="14"/>
  <c r="O210" i="14"/>
  <c r="O207" i="14"/>
  <c r="O208" i="14"/>
  <c r="O209" i="14"/>
  <c r="O206" i="14"/>
  <c r="AB209" i="14"/>
  <c r="AB210" i="14"/>
  <c r="AB206" i="14"/>
  <c r="AB207" i="14"/>
  <c r="AB208" i="14"/>
  <c r="T209" i="14"/>
  <c r="T210" i="14"/>
  <c r="T206" i="14"/>
  <c r="T207" i="14"/>
  <c r="T208" i="14"/>
  <c r="L209" i="14"/>
  <c r="L210" i="14"/>
  <c r="L206" i="14"/>
  <c r="L207" i="14"/>
  <c r="L208" i="14"/>
  <c r="E36" i="14"/>
  <c r="E209" i="14" s="1"/>
  <c r="E29" i="14"/>
  <c r="E27" i="14" s="1"/>
  <c r="E39" i="14"/>
  <c r="E210" i="14" s="1"/>
  <c r="AA208" i="14"/>
  <c r="AA206" i="14"/>
  <c r="AA210" i="14"/>
  <c r="AA207" i="14"/>
  <c r="AA209" i="14"/>
  <c r="S55" i="14"/>
  <c r="S208" i="14"/>
  <c r="S209" i="14"/>
  <c r="S210" i="14"/>
  <c r="S207" i="14"/>
  <c r="S206" i="14"/>
  <c r="K55" i="14"/>
  <c r="K208" i="14"/>
  <c r="K206" i="14"/>
  <c r="K209" i="14"/>
  <c r="K210" i="14"/>
  <c r="K207" i="14"/>
  <c r="W210" i="14"/>
  <c r="W208" i="14"/>
  <c r="W209" i="14"/>
  <c r="W206" i="14"/>
  <c r="W207" i="14"/>
  <c r="AH57" i="14"/>
  <c r="AH208" i="14"/>
  <c r="AH206" i="14"/>
  <c r="AH209" i="14"/>
  <c r="AH210" i="14"/>
  <c r="AH207" i="14"/>
  <c r="Z208" i="14"/>
  <c r="Z206" i="14"/>
  <c r="Z209" i="14"/>
  <c r="Z210" i="14"/>
  <c r="Z207" i="14"/>
  <c r="R57" i="14"/>
  <c r="R208" i="14"/>
  <c r="R206" i="14"/>
  <c r="R209" i="14"/>
  <c r="R210" i="14"/>
  <c r="R207" i="14"/>
  <c r="J208" i="14"/>
  <c r="J206" i="14"/>
  <c r="J209" i="14"/>
  <c r="J210" i="14"/>
  <c r="J207" i="14"/>
  <c r="AG206" i="14"/>
  <c r="AG208" i="14"/>
  <c r="AG209" i="14"/>
  <c r="AG210" i="14"/>
  <c r="Y57" i="14"/>
  <c r="Y207" i="14"/>
  <c r="Y206" i="14"/>
  <c r="Y208" i="14"/>
  <c r="Y209" i="14"/>
  <c r="Y210" i="14"/>
  <c r="Q57" i="14"/>
  <c r="Q207" i="14"/>
  <c r="Q206" i="14"/>
  <c r="Q209" i="14"/>
  <c r="Q210" i="14"/>
  <c r="Q208" i="14"/>
  <c r="I57" i="14"/>
  <c r="I207" i="14"/>
  <c r="I206" i="14"/>
  <c r="I208" i="14"/>
  <c r="I210" i="14"/>
  <c r="P182" i="14"/>
  <c r="H182" i="14"/>
  <c r="AD176" i="14"/>
  <c r="U176" i="14"/>
  <c r="M182" i="14"/>
  <c r="M176" i="14"/>
  <c r="AC176" i="14"/>
  <c r="E179" i="14"/>
  <c r="L182" i="14"/>
  <c r="E182" i="14"/>
  <c r="S182" i="14"/>
  <c r="K182" i="14"/>
  <c r="Q179" i="14"/>
  <c r="I179" i="14"/>
  <c r="Q182" i="14"/>
  <c r="AG176" i="14"/>
  <c r="X179" i="14"/>
  <c r="P179" i="14"/>
  <c r="H179" i="14"/>
  <c r="AE179" i="14"/>
  <c r="W179" i="14"/>
  <c r="O179" i="14"/>
  <c r="G179" i="14"/>
  <c r="F179" i="14"/>
  <c r="V179" i="14"/>
  <c r="AC179" i="14"/>
  <c r="U179" i="14"/>
  <c r="M179" i="14"/>
  <c r="AF179" i="14"/>
  <c r="AD179" i="14"/>
  <c r="N179" i="14"/>
  <c r="AB179" i="14"/>
  <c r="T179" i="14"/>
  <c r="L179" i="14"/>
  <c r="AA179" i="14"/>
  <c r="S179" i="14"/>
  <c r="K179" i="14"/>
  <c r="AH179" i="14"/>
  <c r="Z179" i="14"/>
  <c r="R179" i="14"/>
  <c r="V176" i="14"/>
  <c r="N176" i="14"/>
  <c r="F176" i="14"/>
  <c r="AB176" i="14"/>
  <c r="T176" i="14"/>
  <c r="L176" i="14"/>
  <c r="AA176" i="14"/>
  <c r="S176" i="14"/>
  <c r="K176" i="14"/>
  <c r="AH176" i="14"/>
  <c r="Z176" i="14"/>
  <c r="R176" i="14"/>
  <c r="J176" i="14"/>
  <c r="Y176" i="14"/>
  <c r="Q176" i="14"/>
  <c r="I176" i="14"/>
  <c r="AF176" i="14"/>
  <c r="X176" i="14"/>
  <c r="P176" i="14"/>
  <c r="H176" i="14"/>
  <c r="E176" i="14"/>
  <c r="AE176" i="14"/>
  <c r="W176" i="14"/>
  <c r="O176" i="14"/>
  <c r="K37" i="29"/>
  <c r="K332" i="29" s="1"/>
  <c r="K35" i="29"/>
  <c r="J8" i="14"/>
  <c r="J59" i="14" s="1"/>
  <c r="E23" i="14"/>
  <c r="AG11" i="14"/>
  <c r="AG62" i="14" s="1"/>
  <c r="AA9" i="14"/>
  <c r="AA60" i="14" s="1"/>
  <c r="I209" i="14"/>
  <c r="AF51" i="14"/>
  <c r="AD13" i="14"/>
  <c r="AD64" i="14" s="1"/>
  <c r="AE53" i="14"/>
  <c r="AD45" i="14"/>
  <c r="E164" i="14"/>
  <c r="G13" i="14"/>
  <c r="G64" i="14" s="1"/>
  <c r="M53" i="14"/>
  <c r="G45" i="14"/>
  <c r="W10" i="14"/>
  <c r="W61" i="14" s="1"/>
  <c r="M47" i="14"/>
  <c r="AA55" i="14"/>
  <c r="O53" i="14"/>
  <c r="H51" i="14"/>
  <c r="T47" i="14"/>
  <c r="N45" i="14"/>
  <c r="H173" i="14"/>
  <c r="AF13" i="14"/>
  <c r="AF64" i="14" s="1"/>
  <c r="N13" i="14"/>
  <c r="N64" i="14" s="1"/>
  <c r="T12" i="14"/>
  <c r="T63" i="14" s="1"/>
  <c r="AD10" i="14"/>
  <c r="AD61" i="14" s="1"/>
  <c r="G10" i="14"/>
  <c r="G61" i="14" s="1"/>
  <c r="P8" i="14"/>
  <c r="P59" i="14" s="1"/>
  <c r="U55" i="14"/>
  <c r="N53" i="14"/>
  <c r="G51" i="14"/>
  <c r="S47" i="14"/>
  <c r="AE45" i="14"/>
  <c r="M45" i="14"/>
  <c r="AE13" i="14"/>
  <c r="AE64" i="14" s="1"/>
  <c r="H13" i="14"/>
  <c r="H64" i="14" s="1"/>
  <c r="M12" i="14"/>
  <c r="M63" i="14" s="1"/>
  <c r="AC10" i="14"/>
  <c r="AC61" i="14" s="1"/>
  <c r="F10" i="14"/>
  <c r="F61" i="14" s="1"/>
  <c r="H8" i="14"/>
  <c r="H59" i="14" s="1"/>
  <c r="L12" i="14"/>
  <c r="L63" i="14" s="1"/>
  <c r="M55" i="14"/>
  <c r="AD53" i="14"/>
  <c r="G53" i="14"/>
  <c r="AE51" i="14"/>
  <c r="L47" i="14"/>
  <c r="AC45" i="14"/>
  <c r="F45" i="14"/>
  <c r="E170" i="14"/>
  <c r="H170" i="14"/>
  <c r="X13" i="14"/>
  <c r="X64" i="14" s="1"/>
  <c r="F13" i="14"/>
  <c r="F64" i="14" s="1"/>
  <c r="AF11" i="14"/>
  <c r="AF62" i="14" s="1"/>
  <c r="V10" i="14"/>
  <c r="V61" i="14" s="1"/>
  <c r="T9" i="14"/>
  <c r="T60" i="14" s="1"/>
  <c r="L55" i="14"/>
  <c r="AC53" i="14"/>
  <c r="F53" i="14"/>
  <c r="X51" i="14"/>
  <c r="W45" i="14"/>
  <c r="G170" i="14"/>
  <c r="W13" i="14"/>
  <c r="W64" i="14" s="1"/>
  <c r="AC12" i="14"/>
  <c r="AC63" i="14" s="1"/>
  <c r="X11" i="14"/>
  <c r="X62" i="14" s="1"/>
  <c r="U10" i="14"/>
  <c r="U61" i="14" s="1"/>
  <c r="L9" i="14"/>
  <c r="L60" i="14" s="1"/>
  <c r="W53" i="14"/>
  <c r="W51" i="14"/>
  <c r="AC47" i="14"/>
  <c r="V45" i="14"/>
  <c r="V13" i="14"/>
  <c r="V64" i="14" s="1"/>
  <c r="AB12" i="14"/>
  <c r="AB63" i="14" s="1"/>
  <c r="P11" i="14"/>
  <c r="P62" i="14" s="1"/>
  <c r="O10" i="14"/>
  <c r="O61" i="14" s="1"/>
  <c r="K9" i="14"/>
  <c r="K60" i="14" s="1"/>
  <c r="AB9" i="14"/>
  <c r="AB60" i="14" s="1"/>
  <c r="AC55" i="14"/>
  <c r="V53" i="14"/>
  <c r="P51" i="14"/>
  <c r="AB47" i="14"/>
  <c r="U45" i="14"/>
  <c r="E9" i="14"/>
  <c r="E60" i="14" s="1"/>
  <c r="P13" i="14"/>
  <c r="P64" i="14" s="1"/>
  <c r="AA12" i="14"/>
  <c r="AA63" i="14" s="1"/>
  <c r="H11" i="14"/>
  <c r="H62" i="14" s="1"/>
  <c r="N10" i="14"/>
  <c r="N61" i="14" s="1"/>
  <c r="AF8" i="14"/>
  <c r="AF59" i="14" s="1"/>
  <c r="T55" i="14"/>
  <c r="AA57" i="14"/>
  <c r="AB55" i="14"/>
  <c r="U53" i="14"/>
  <c r="O51" i="14"/>
  <c r="S49" i="14"/>
  <c r="U47" i="14"/>
  <c r="O45" i="14"/>
  <c r="E13" i="14"/>
  <c r="E64" i="14" s="1"/>
  <c r="O13" i="14"/>
  <c r="O64" i="14" s="1"/>
  <c r="U12" i="14"/>
  <c r="U63" i="14" s="1"/>
  <c r="AE10" i="14"/>
  <c r="AE61" i="14" s="1"/>
  <c r="M10" i="14"/>
  <c r="M61" i="14" s="1"/>
  <c r="X8" i="14"/>
  <c r="X59" i="14" s="1"/>
  <c r="Z51" i="14"/>
  <c r="Z9" i="14"/>
  <c r="Z60" i="14" s="1"/>
  <c r="Z13" i="14"/>
  <c r="Z64" i="14" s="1"/>
  <c r="Z10" i="14"/>
  <c r="Z61" i="14" s="1"/>
  <c r="Z45" i="14"/>
  <c r="Z53" i="14"/>
  <c r="Z12" i="14"/>
  <c r="Z63" i="14" s="1"/>
  <c r="Z47" i="14"/>
  <c r="Z55" i="14"/>
  <c r="Z49" i="14"/>
  <c r="I13" i="14"/>
  <c r="I64" i="14" s="1"/>
  <c r="I10" i="14"/>
  <c r="I61" i="14" s="1"/>
  <c r="I45" i="14"/>
  <c r="I53" i="14"/>
  <c r="I12" i="14"/>
  <c r="I63" i="14" s="1"/>
  <c r="I47" i="14"/>
  <c r="I55" i="14"/>
  <c r="I9" i="14"/>
  <c r="I60" i="14" s="1"/>
  <c r="Y49" i="14"/>
  <c r="K188" i="14"/>
  <c r="K504" i="29" s="1"/>
  <c r="D121" i="14"/>
  <c r="J188" i="14"/>
  <c r="J504" i="29" s="1"/>
  <c r="R188" i="14"/>
  <c r="R504" i="29" s="1"/>
  <c r="E47" i="14"/>
  <c r="S57" i="14"/>
  <c r="R49" i="14"/>
  <c r="F167" i="14"/>
  <c r="R11" i="14"/>
  <c r="R62" i="14" s="1"/>
  <c r="AG8" i="14"/>
  <c r="AG59" i="14" s="1"/>
  <c r="Z57" i="14"/>
  <c r="AG51" i="14"/>
  <c r="Q49" i="14"/>
  <c r="Q11" i="14"/>
  <c r="Q62" i="14" s="1"/>
  <c r="I8" i="14"/>
  <c r="I59" i="14" s="1"/>
  <c r="J51" i="14"/>
  <c r="J13" i="14"/>
  <c r="J64" i="14" s="1"/>
  <c r="J10" i="14"/>
  <c r="J61" i="14" s="1"/>
  <c r="J45" i="14"/>
  <c r="J53" i="14"/>
  <c r="J9" i="14"/>
  <c r="J60" i="14" s="1"/>
  <c r="J12" i="14"/>
  <c r="J63" i="14" s="1"/>
  <c r="J47" i="14"/>
  <c r="J55" i="14"/>
  <c r="Y13" i="14"/>
  <c r="Y64" i="14" s="1"/>
  <c r="Y10" i="14"/>
  <c r="Y61" i="14" s="1"/>
  <c r="Y45" i="14"/>
  <c r="Y53" i="14"/>
  <c r="Y12" i="14"/>
  <c r="Y63" i="14" s="1"/>
  <c r="Y47" i="14"/>
  <c r="Y55" i="14"/>
  <c r="Y9" i="14"/>
  <c r="Y60" i="14" s="1"/>
  <c r="Q51" i="14"/>
  <c r="I51" i="14"/>
  <c r="AH49" i="14"/>
  <c r="K49" i="14"/>
  <c r="K47" i="14"/>
  <c r="D118" i="14"/>
  <c r="D107" i="14" s="1"/>
  <c r="F164" i="14"/>
  <c r="G164" i="14"/>
  <c r="H164" i="14"/>
  <c r="AH11" i="14"/>
  <c r="AH62" i="14" s="1"/>
  <c r="Z8" i="14"/>
  <c r="Z59" i="14" s="1"/>
  <c r="R51" i="14"/>
  <c r="R13" i="14"/>
  <c r="R64" i="14" s="1"/>
  <c r="R9" i="14"/>
  <c r="R60" i="14" s="1"/>
  <c r="R10" i="14"/>
  <c r="R61" i="14" s="1"/>
  <c r="R45" i="14"/>
  <c r="R53" i="14"/>
  <c r="R12" i="14"/>
  <c r="R63" i="14" s="1"/>
  <c r="R47" i="14"/>
  <c r="R55" i="14"/>
  <c r="Z11" i="14"/>
  <c r="Z62" i="14" s="1"/>
  <c r="R8" i="14"/>
  <c r="R59" i="14" s="1"/>
  <c r="Q13" i="14"/>
  <c r="Q64" i="14" s="1"/>
  <c r="Q10" i="14"/>
  <c r="Q61" i="14" s="1"/>
  <c r="Q45" i="14"/>
  <c r="Q53" i="14"/>
  <c r="Q12" i="14"/>
  <c r="Q63" i="14" s="1"/>
  <c r="Q47" i="14"/>
  <c r="Q55" i="14"/>
  <c r="Q9" i="14"/>
  <c r="Q60" i="14" s="1"/>
  <c r="Q8" i="14"/>
  <c r="Q59" i="14" s="1"/>
  <c r="AH8" i="14"/>
  <c r="AH59" i="14" s="1"/>
  <c r="K57" i="14"/>
  <c r="AG49" i="14"/>
  <c r="J49" i="14"/>
  <c r="G167" i="14"/>
  <c r="H167" i="14"/>
  <c r="J11" i="14"/>
  <c r="J62" i="14" s="1"/>
  <c r="Y8" i="14"/>
  <c r="Y59" i="14" s="1"/>
  <c r="AH51" i="14"/>
  <c r="AH13" i="14"/>
  <c r="AH64" i="14" s="1"/>
  <c r="AH10" i="14"/>
  <c r="AH61" i="14" s="1"/>
  <c r="AH45" i="14"/>
  <c r="AH53" i="14"/>
  <c r="AH9" i="14"/>
  <c r="AH60" i="14" s="1"/>
  <c r="AH12" i="14"/>
  <c r="AH63" i="14" s="1"/>
  <c r="AH47" i="14"/>
  <c r="AH55" i="14"/>
  <c r="AG207" i="14"/>
  <c r="AG13" i="14"/>
  <c r="AG64" i="14" s="1"/>
  <c r="AG10" i="14"/>
  <c r="AG61" i="14" s="1"/>
  <c r="AG45" i="14"/>
  <c r="AG53" i="14"/>
  <c r="AG12" i="14"/>
  <c r="AG63" i="14" s="1"/>
  <c r="AG47" i="14"/>
  <c r="AG55" i="14"/>
  <c r="AG9" i="14"/>
  <c r="AG60" i="14" s="1"/>
  <c r="Y11" i="14"/>
  <c r="Y62" i="14" s="1"/>
  <c r="E8" i="14"/>
  <c r="E59" i="14" s="1"/>
  <c r="E57" i="14"/>
  <c r="E55" i="14"/>
  <c r="E10" i="14"/>
  <c r="E61" i="14" s="1"/>
  <c r="E53" i="14"/>
  <c r="E11" i="14"/>
  <c r="E62" i="14" s="1"/>
  <c r="E51" i="14"/>
  <c r="E12" i="14"/>
  <c r="E63" i="14" s="1"/>
  <c r="E49" i="14"/>
  <c r="AA8" i="14"/>
  <c r="AA59" i="14" s="1"/>
  <c r="AA11" i="14"/>
  <c r="AA62" i="14" s="1"/>
  <c r="AA51" i="14"/>
  <c r="AA13" i="14"/>
  <c r="AA64" i="14" s="1"/>
  <c r="AA10" i="14"/>
  <c r="AA61" i="14" s="1"/>
  <c r="AA45" i="14"/>
  <c r="AA53" i="14"/>
  <c r="S8" i="14"/>
  <c r="S59" i="14" s="1"/>
  <c r="S11" i="14"/>
  <c r="S62" i="14" s="1"/>
  <c r="S12" i="14"/>
  <c r="S63" i="14" s="1"/>
  <c r="S51" i="14"/>
  <c r="S13" i="14"/>
  <c r="S64" i="14" s="1"/>
  <c r="S10" i="14"/>
  <c r="S61" i="14" s="1"/>
  <c r="S45" i="14"/>
  <c r="S53" i="14"/>
  <c r="K8" i="14"/>
  <c r="K59" i="14" s="1"/>
  <c r="K11" i="14"/>
  <c r="K62" i="14" s="1"/>
  <c r="K51" i="14"/>
  <c r="K12" i="14"/>
  <c r="K63" i="14" s="1"/>
  <c r="K13" i="14"/>
  <c r="K64" i="14" s="1"/>
  <c r="K10" i="14"/>
  <c r="K61" i="14" s="1"/>
  <c r="K45" i="14"/>
  <c r="K53" i="14"/>
  <c r="AG57" i="14"/>
  <c r="J57" i="14"/>
  <c r="Y51" i="14"/>
  <c r="AA49" i="14"/>
  <c r="I49" i="14"/>
  <c r="AA47" i="14"/>
  <c r="I11" i="14"/>
  <c r="I62" i="14" s="1"/>
  <c r="S9" i="14"/>
  <c r="S60" i="14" s="1"/>
  <c r="AF57" i="14"/>
  <c r="X57" i="14"/>
  <c r="P57" i="14"/>
  <c r="H57" i="14"/>
  <c r="AB53" i="14"/>
  <c r="T53" i="14"/>
  <c r="L53" i="14"/>
  <c r="AD51" i="14"/>
  <c r="V51" i="14"/>
  <c r="N51" i="14"/>
  <c r="F51" i="14"/>
  <c r="AF49" i="14"/>
  <c r="X49" i="14"/>
  <c r="P49" i="14"/>
  <c r="H49" i="14"/>
  <c r="AB45" i="14"/>
  <c r="T45" i="14"/>
  <c r="L45" i="14"/>
  <c r="E173" i="14"/>
  <c r="G173" i="14"/>
  <c r="AC13" i="14"/>
  <c r="AC64" i="14" s="1"/>
  <c r="U13" i="14"/>
  <c r="U64" i="14" s="1"/>
  <c r="M13" i="14"/>
  <c r="M64" i="14" s="1"/>
  <c r="AE11" i="14"/>
  <c r="AE62" i="14" s="1"/>
  <c r="W11" i="14"/>
  <c r="W62" i="14" s="1"/>
  <c r="O11" i="14"/>
  <c r="O62" i="14" s="1"/>
  <c r="G11" i="14"/>
  <c r="G62" i="14" s="1"/>
  <c r="AB10" i="14"/>
  <c r="AB61" i="14" s="1"/>
  <c r="T10" i="14"/>
  <c r="T61" i="14" s="1"/>
  <c r="L10" i="14"/>
  <c r="L61" i="14" s="1"/>
  <c r="AE8" i="14"/>
  <c r="AE59" i="14" s="1"/>
  <c r="W8" i="14"/>
  <c r="W59" i="14" s="1"/>
  <c r="O8" i="14"/>
  <c r="O59" i="14" s="1"/>
  <c r="G8" i="14"/>
  <c r="G59" i="14" s="1"/>
  <c r="AE57" i="14"/>
  <c r="W57" i="14"/>
  <c r="O57" i="14"/>
  <c r="G57" i="14"/>
  <c r="AC51" i="14"/>
  <c r="U51" i="14"/>
  <c r="M51" i="14"/>
  <c r="AE49" i="14"/>
  <c r="W49" i="14"/>
  <c r="O49" i="14"/>
  <c r="G49" i="14"/>
  <c r="AB13" i="14"/>
  <c r="AB64" i="14" s="1"/>
  <c r="T13" i="14"/>
  <c r="T64" i="14" s="1"/>
  <c r="L13" i="14"/>
  <c r="L64" i="14" s="1"/>
  <c r="AD11" i="14"/>
  <c r="AD62" i="14" s="1"/>
  <c r="V11" i="14"/>
  <c r="V62" i="14" s="1"/>
  <c r="N11" i="14"/>
  <c r="N62" i="14" s="1"/>
  <c r="F11" i="14"/>
  <c r="F62" i="14" s="1"/>
  <c r="AF9" i="14"/>
  <c r="AF60" i="14" s="1"/>
  <c r="X9" i="14"/>
  <c r="X60" i="14" s="1"/>
  <c r="P9" i="14"/>
  <c r="P60" i="14" s="1"/>
  <c r="H9" i="14"/>
  <c r="H60" i="14" s="1"/>
  <c r="AD8" i="14"/>
  <c r="AD59" i="14" s="1"/>
  <c r="V8" i="14"/>
  <c r="V59" i="14" s="1"/>
  <c r="N8" i="14"/>
  <c r="N59" i="14" s="1"/>
  <c r="F8" i="14"/>
  <c r="F59" i="14" s="1"/>
  <c r="AD57" i="14"/>
  <c r="V57" i="14"/>
  <c r="N57" i="14"/>
  <c r="F57" i="14"/>
  <c r="AF55" i="14"/>
  <c r="X55" i="14"/>
  <c r="P55" i="14"/>
  <c r="H55" i="14"/>
  <c r="AB51" i="14"/>
  <c r="T51" i="14"/>
  <c r="L51" i="14"/>
  <c r="AD49" i="14"/>
  <c r="V49" i="14"/>
  <c r="N49" i="14"/>
  <c r="F49" i="14"/>
  <c r="AF47" i="14"/>
  <c r="X47" i="14"/>
  <c r="P47" i="14"/>
  <c r="H47" i="14"/>
  <c r="AF12" i="14"/>
  <c r="AF63" i="14" s="1"/>
  <c r="X12" i="14"/>
  <c r="X63" i="14" s="1"/>
  <c r="P12" i="14"/>
  <c r="P63" i="14" s="1"/>
  <c r="H12" i="14"/>
  <c r="H63" i="14" s="1"/>
  <c r="AC11" i="14"/>
  <c r="AC62" i="14" s="1"/>
  <c r="U11" i="14"/>
  <c r="U62" i="14" s="1"/>
  <c r="M11" i="14"/>
  <c r="M62" i="14" s="1"/>
  <c r="AE9" i="14"/>
  <c r="AE60" i="14" s="1"/>
  <c r="W9" i="14"/>
  <c r="W60" i="14" s="1"/>
  <c r="O9" i="14"/>
  <c r="O60" i="14" s="1"/>
  <c r="G9" i="14"/>
  <c r="G60" i="14" s="1"/>
  <c r="AC8" i="14"/>
  <c r="AC59" i="14" s="1"/>
  <c r="U8" i="14"/>
  <c r="U59" i="14" s="1"/>
  <c r="M8" i="14"/>
  <c r="M59" i="14" s="1"/>
  <c r="AC57" i="14"/>
  <c r="U57" i="14"/>
  <c r="M57" i="14"/>
  <c r="AE55" i="14"/>
  <c r="W55" i="14"/>
  <c r="O55" i="14"/>
  <c r="G55" i="14"/>
  <c r="AC49" i="14"/>
  <c r="U49" i="14"/>
  <c r="M49" i="14"/>
  <c r="AE47" i="14"/>
  <c r="W47" i="14"/>
  <c r="O47" i="14"/>
  <c r="G47" i="14"/>
  <c r="AE12" i="14"/>
  <c r="AE63" i="14" s="1"/>
  <c r="W12" i="14"/>
  <c r="W63" i="14" s="1"/>
  <c r="O12" i="14"/>
  <c r="O63" i="14" s="1"/>
  <c r="G12" i="14"/>
  <c r="G63" i="14" s="1"/>
  <c r="AB11" i="14"/>
  <c r="AB62" i="14" s="1"/>
  <c r="T11" i="14"/>
  <c r="T62" i="14" s="1"/>
  <c r="L11" i="14"/>
  <c r="L62" i="14" s="1"/>
  <c r="AD9" i="14"/>
  <c r="AD60" i="14" s="1"/>
  <c r="V9" i="14"/>
  <c r="V60" i="14" s="1"/>
  <c r="N9" i="14"/>
  <c r="N60" i="14" s="1"/>
  <c r="F9" i="14"/>
  <c r="F60" i="14" s="1"/>
  <c r="AB8" i="14"/>
  <c r="AB59" i="14" s="1"/>
  <c r="T8" i="14"/>
  <c r="T59" i="14" s="1"/>
  <c r="L8" i="14"/>
  <c r="L59" i="14" s="1"/>
  <c r="AB57" i="14"/>
  <c r="T57" i="14"/>
  <c r="L57" i="14"/>
  <c r="AD55" i="14"/>
  <c r="V55" i="14"/>
  <c r="N55" i="14"/>
  <c r="F55" i="14"/>
  <c r="AF53" i="14"/>
  <c r="X53" i="14"/>
  <c r="P53" i="14"/>
  <c r="H53" i="14"/>
  <c r="AB49" i="14"/>
  <c r="T49" i="14"/>
  <c r="L49" i="14"/>
  <c r="AD47" i="14"/>
  <c r="V47" i="14"/>
  <c r="N47" i="14"/>
  <c r="F47" i="14"/>
  <c r="AF45" i="14"/>
  <c r="X45" i="14"/>
  <c r="P45" i="14"/>
  <c r="H45" i="14"/>
  <c r="AD12" i="14"/>
  <c r="AD63" i="14" s="1"/>
  <c r="V12" i="14"/>
  <c r="V63" i="14" s="1"/>
  <c r="N12" i="14"/>
  <c r="N63" i="14" s="1"/>
  <c r="F12" i="14"/>
  <c r="F63" i="14" s="1"/>
  <c r="AF10" i="14"/>
  <c r="AF61" i="14" s="1"/>
  <c r="X10" i="14"/>
  <c r="X61" i="14" s="1"/>
  <c r="P10" i="14"/>
  <c r="P61" i="14" s="1"/>
  <c r="H10" i="14"/>
  <c r="H61" i="14" s="1"/>
  <c r="AC9" i="14"/>
  <c r="AC60" i="14" s="1"/>
  <c r="U9" i="14"/>
  <c r="U60" i="14" s="1"/>
  <c r="M9" i="14"/>
  <c r="M60" i="14" s="1"/>
  <c r="Q188" i="14"/>
  <c r="Q504" i="29" s="1"/>
  <c r="I188" i="14"/>
  <c r="I504" i="29" s="1"/>
  <c r="X188" i="14"/>
  <c r="X504" i="29" s="1"/>
  <c r="P188" i="14"/>
  <c r="P504" i="29" s="1"/>
  <c r="H188" i="14"/>
  <c r="H504" i="29" s="1"/>
  <c r="W188" i="14"/>
  <c r="W504" i="29" s="1"/>
  <c r="O188" i="14"/>
  <c r="O504" i="29" s="1"/>
  <c r="G188" i="14"/>
  <c r="V188" i="14"/>
  <c r="V504" i="29" s="1"/>
  <c r="N188" i="14"/>
  <c r="N504" i="29" s="1"/>
  <c r="F188" i="14"/>
  <c r="F504" i="29" s="1"/>
  <c r="E189" i="14"/>
  <c r="U188" i="14"/>
  <c r="U504" i="29" s="1"/>
  <c r="M188" i="14"/>
  <c r="M504" i="29" s="1"/>
  <c r="E188" i="14"/>
  <c r="E504" i="29" s="1"/>
  <c r="T188" i="14"/>
  <c r="T504" i="29" s="1"/>
  <c r="L188" i="14"/>
  <c r="L504" i="29" s="1"/>
  <c r="S188" i="14"/>
  <c r="S504" i="29" s="1"/>
  <c r="H18" i="14"/>
  <c r="O23" i="14"/>
  <c r="O25" i="14" s="1"/>
  <c r="O204" i="14" s="1"/>
  <c r="AI58" i="14"/>
  <c r="AI56" i="14"/>
  <c r="S18" i="14"/>
  <c r="AD23" i="14"/>
  <c r="AD25" i="14" s="1"/>
  <c r="AD204" i="14" s="1"/>
  <c r="G23" i="14"/>
  <c r="G25" i="14" s="1"/>
  <c r="G204" i="14" s="1"/>
  <c r="Q18" i="14"/>
  <c r="Y23" i="14"/>
  <c r="Y25" i="14" s="1"/>
  <c r="Y204" i="14" s="1"/>
  <c r="F23" i="14"/>
  <c r="F25" i="14" s="1"/>
  <c r="F204" i="14" s="1"/>
  <c r="P18" i="14"/>
  <c r="W23" i="14"/>
  <c r="W25" i="14" s="1"/>
  <c r="W204" i="14" s="1"/>
  <c r="AG18" i="14"/>
  <c r="K18" i="14"/>
  <c r="V23" i="14"/>
  <c r="V25" i="14" s="1"/>
  <c r="V204" i="14" s="1"/>
  <c r="AF18" i="14"/>
  <c r="I18" i="14"/>
  <c r="Q23" i="14"/>
  <c r="Q25" i="14" s="1"/>
  <c r="Q204" i="14" s="1"/>
  <c r="AA18" i="14"/>
  <c r="Y18" i="14"/>
  <c r="AG23" i="14"/>
  <c r="AG25" i="14" s="1"/>
  <c r="AG204" i="14" s="1"/>
  <c r="N23" i="14"/>
  <c r="N25" i="14" s="1"/>
  <c r="N204" i="14" s="1"/>
  <c r="X18" i="14"/>
  <c r="AE23" i="14"/>
  <c r="AE25" i="14" s="1"/>
  <c r="AE204" i="14" s="1"/>
  <c r="I23" i="14"/>
  <c r="I25" i="14" s="1"/>
  <c r="I204" i="14" s="1"/>
  <c r="AD18" i="14"/>
  <c r="V18" i="14"/>
  <c r="N18" i="14"/>
  <c r="F18" i="14"/>
  <c r="AB23" i="14"/>
  <c r="AB25" i="14" s="1"/>
  <c r="AB204" i="14" s="1"/>
  <c r="T23" i="14"/>
  <c r="T25" i="14" s="1"/>
  <c r="T204" i="14" s="1"/>
  <c r="L23" i="14"/>
  <c r="L25" i="14" s="1"/>
  <c r="L204" i="14" s="1"/>
  <c r="AC18" i="14"/>
  <c r="U18" i="14"/>
  <c r="M18" i="14"/>
  <c r="AA23" i="14"/>
  <c r="AA25" i="14" s="1"/>
  <c r="AA204" i="14" s="1"/>
  <c r="S23" i="14"/>
  <c r="S25" i="14" s="1"/>
  <c r="S204" i="14" s="1"/>
  <c r="K23" i="14"/>
  <c r="K25" i="14" s="1"/>
  <c r="K204" i="14" s="1"/>
  <c r="AB18" i="14"/>
  <c r="T18" i="14"/>
  <c r="L18" i="14"/>
  <c r="AH23" i="14"/>
  <c r="AH25" i="14" s="1"/>
  <c r="AH204" i="14" s="1"/>
  <c r="Z23" i="14"/>
  <c r="Z25" i="14" s="1"/>
  <c r="Z204" i="14" s="1"/>
  <c r="R23" i="14"/>
  <c r="R25" i="14" s="1"/>
  <c r="R204" i="14" s="1"/>
  <c r="J23" i="14"/>
  <c r="J25" i="14" s="1"/>
  <c r="J204" i="14" s="1"/>
  <c r="AH18" i="14"/>
  <c r="Z18" i="14"/>
  <c r="R18" i="14"/>
  <c r="J18" i="14"/>
  <c r="AF23" i="14"/>
  <c r="AF25" i="14" s="1"/>
  <c r="AF204" i="14" s="1"/>
  <c r="X23" i="14"/>
  <c r="X25" i="14" s="1"/>
  <c r="X204" i="14" s="1"/>
  <c r="P23" i="14"/>
  <c r="P25" i="14" s="1"/>
  <c r="P204" i="14" s="1"/>
  <c r="H23" i="14"/>
  <c r="H25" i="14" s="1"/>
  <c r="H204" i="14" s="1"/>
  <c r="AE18" i="14"/>
  <c r="W18" i="14"/>
  <c r="O18" i="14"/>
  <c r="G18" i="14"/>
  <c r="AC23" i="14"/>
  <c r="AC25" i="14" s="1"/>
  <c r="AC204" i="14" s="1"/>
  <c r="U23" i="14"/>
  <c r="U25" i="14" s="1"/>
  <c r="U204" i="14" s="1"/>
  <c r="M23" i="14"/>
  <c r="M25" i="14" s="1"/>
  <c r="M204" i="14" s="1"/>
  <c r="E238" i="14" l="1"/>
  <c r="G527" i="29"/>
  <c r="G285" i="29"/>
  <c r="H275" i="29"/>
  <c r="H451" i="29" s="1"/>
  <c r="H286" i="29"/>
  <c r="I283" i="29"/>
  <c r="I459" i="29" s="1"/>
  <c r="H457" i="29"/>
  <c r="H462" i="29" s="1"/>
  <c r="I276" i="29"/>
  <c r="I452" i="29" s="1"/>
  <c r="I277" i="29"/>
  <c r="I453" i="29" s="1"/>
  <c r="I278" i="29"/>
  <c r="I454" i="29" s="1"/>
  <c r="I282" i="29"/>
  <c r="I458" i="29" s="1"/>
  <c r="I281" i="29"/>
  <c r="I460" i="29"/>
  <c r="Q16" i="29"/>
  <c r="P238" i="14"/>
  <c r="J16" i="29"/>
  <c r="I238" i="14"/>
  <c r="AH16" i="29"/>
  <c r="AG238" i="14"/>
  <c r="AB16" i="29"/>
  <c r="AA238" i="14"/>
  <c r="H16" i="29"/>
  <c r="G238" i="14"/>
  <c r="I16" i="29"/>
  <c r="H238" i="14"/>
  <c r="N16" i="29"/>
  <c r="M238" i="14"/>
  <c r="X16" i="29"/>
  <c r="W238" i="14"/>
  <c r="H493" i="29"/>
  <c r="Z16" i="29"/>
  <c r="Y238" i="14"/>
  <c r="K16" i="29"/>
  <c r="J238" i="14"/>
  <c r="T16" i="29"/>
  <c r="S238" i="14"/>
  <c r="O16" i="29"/>
  <c r="N238" i="14"/>
  <c r="AC16" i="29"/>
  <c r="AB238" i="14"/>
  <c r="M16" i="29"/>
  <c r="L238" i="14"/>
  <c r="AK504" i="29"/>
  <c r="AI504" i="29"/>
  <c r="AJ504" i="29"/>
  <c r="AG16" i="29"/>
  <c r="AF238" i="14"/>
  <c r="W16" i="29"/>
  <c r="V238" i="14"/>
  <c r="AD16" i="29"/>
  <c r="AC238" i="14"/>
  <c r="G16" i="29"/>
  <c r="F238" i="14"/>
  <c r="J338" i="29"/>
  <c r="J337" i="29"/>
  <c r="J335" i="29"/>
  <c r="J336" i="29"/>
  <c r="J345" i="29"/>
  <c r="J344" i="29"/>
  <c r="J343" i="29"/>
  <c r="J346" i="29"/>
  <c r="J342" i="29"/>
  <c r="J341" i="29"/>
  <c r="J340" i="29"/>
  <c r="J339" i="29"/>
  <c r="R16" i="29"/>
  <c r="Q238" i="14"/>
  <c r="F16" i="29"/>
  <c r="P16" i="29"/>
  <c r="O238" i="14"/>
  <c r="J349" i="29"/>
  <c r="J351" i="29"/>
  <c r="J350" i="29"/>
  <c r="J352" i="29"/>
  <c r="J356" i="29"/>
  <c r="J360" i="29"/>
  <c r="J358" i="29"/>
  <c r="J359" i="29"/>
  <c r="J357" i="29"/>
  <c r="J354" i="29"/>
  <c r="J353" i="29"/>
  <c r="J355" i="29"/>
  <c r="Y16" i="29"/>
  <c r="X238" i="14"/>
  <c r="S16" i="29"/>
  <c r="R238" i="14"/>
  <c r="L16" i="29"/>
  <c r="K238" i="14"/>
  <c r="U16" i="29"/>
  <c r="T238" i="14"/>
  <c r="J365" i="29"/>
  <c r="J366" i="29"/>
  <c r="J364" i="29"/>
  <c r="J363" i="29"/>
  <c r="J373" i="29"/>
  <c r="J374" i="29"/>
  <c r="J372" i="29"/>
  <c r="J368" i="29"/>
  <c r="J369" i="29"/>
  <c r="J371" i="29"/>
  <c r="J370" i="29"/>
  <c r="J367" i="29"/>
  <c r="K362" i="29"/>
  <c r="K348" i="29"/>
  <c r="K334" i="29"/>
  <c r="AA16" i="29"/>
  <c r="Z238" i="14"/>
  <c r="AE16" i="29"/>
  <c r="AD238" i="14"/>
  <c r="V16" i="29"/>
  <c r="U238" i="14"/>
  <c r="AF16" i="29"/>
  <c r="AE238" i="14"/>
  <c r="I375" i="29"/>
  <c r="I376" i="29" s="1"/>
  <c r="H280" i="29"/>
  <c r="H456" i="29" s="1"/>
  <c r="H494" i="29"/>
  <c r="J284" i="29"/>
  <c r="J495" i="29" s="1"/>
  <c r="J279" i="29"/>
  <c r="J455" i="29" s="1"/>
  <c r="K273" i="29"/>
  <c r="K449" i="29" s="1"/>
  <c r="K491" i="29"/>
  <c r="J274" i="29"/>
  <c r="J450" i="29" s="1"/>
  <c r="G461" i="29"/>
  <c r="G463" i="29" s="1"/>
  <c r="L32" i="29"/>
  <c r="J258" i="29"/>
  <c r="J244" i="29"/>
  <c r="J230" i="29"/>
  <c r="I242" i="29"/>
  <c r="I236" i="29"/>
  <c r="I233" i="29"/>
  <c r="I234" i="29"/>
  <c r="I240" i="29"/>
  <c r="I241" i="29"/>
  <c r="I235" i="29"/>
  <c r="I238" i="29"/>
  <c r="I239" i="29"/>
  <c r="I237" i="29"/>
  <c r="I248" i="29"/>
  <c r="I250" i="29"/>
  <c r="I251" i="29"/>
  <c r="I252" i="29"/>
  <c r="I253" i="29"/>
  <c r="I255" i="29"/>
  <c r="I247" i="29"/>
  <c r="I256" i="29"/>
  <c r="I249" i="29"/>
  <c r="I254" i="29"/>
  <c r="I267" i="29"/>
  <c r="I261" i="29"/>
  <c r="I262" i="29"/>
  <c r="I263" i="29"/>
  <c r="I266" i="29"/>
  <c r="I268" i="29"/>
  <c r="I270" i="29"/>
  <c r="I264" i="29"/>
  <c r="I265" i="29"/>
  <c r="I269" i="29"/>
  <c r="L33" i="29"/>
  <c r="K228" i="29"/>
  <c r="H271" i="29"/>
  <c r="H272" i="29" s="1"/>
  <c r="I231" i="29"/>
  <c r="I232" i="29"/>
  <c r="I246" i="29"/>
  <c r="I245" i="29"/>
  <c r="I259" i="29"/>
  <c r="I260" i="29"/>
  <c r="E130" i="14"/>
  <c r="E39" i="29"/>
  <c r="E75" i="14"/>
  <c r="E25" i="14"/>
  <c r="E22" i="14" s="1"/>
  <c r="E205" i="14" s="1"/>
  <c r="D208" i="52"/>
  <c r="C208" i="52"/>
  <c r="AI209" i="14"/>
  <c r="AI210" i="14"/>
  <c r="E44" i="14"/>
  <c r="E115" i="14" s="1"/>
  <c r="V44" i="14"/>
  <c r="H44" i="14"/>
  <c r="O44" i="14"/>
  <c r="AH240" i="14"/>
  <c r="AJ240" i="14" s="1"/>
  <c r="AI240" i="14"/>
  <c r="M44" i="14"/>
  <c r="L37" i="29"/>
  <c r="L332" i="29" s="1"/>
  <c r="L35" i="29"/>
  <c r="K44" i="14"/>
  <c r="U44" i="14"/>
  <c r="Z44" i="14"/>
  <c r="AF44" i="14"/>
  <c r="I44" i="14"/>
  <c r="AC44" i="14"/>
  <c r="AH44" i="14"/>
  <c r="Y44" i="14"/>
  <c r="F44" i="14"/>
  <c r="S44" i="14"/>
  <c r="N44" i="14"/>
  <c r="AA44" i="14"/>
  <c r="R44" i="14"/>
  <c r="J44" i="14"/>
  <c r="P44" i="14"/>
  <c r="Q44" i="14"/>
  <c r="AD44" i="14"/>
  <c r="AI55" i="14"/>
  <c r="W44" i="14"/>
  <c r="X44" i="14"/>
  <c r="G44" i="14"/>
  <c r="AG44" i="14"/>
  <c r="AE44" i="14"/>
  <c r="L44" i="14"/>
  <c r="T44" i="14"/>
  <c r="AB44" i="14"/>
  <c r="AI36" i="14"/>
  <c r="AI39" i="14"/>
  <c r="I494" i="29" l="1"/>
  <c r="I492" i="29"/>
  <c r="I457" i="29"/>
  <c r="I462" i="29" s="1"/>
  <c r="I275" i="29"/>
  <c r="I451" i="29" s="1"/>
  <c r="I493" i="29"/>
  <c r="J460" i="29"/>
  <c r="I280" i="29"/>
  <c r="I456" i="29" s="1"/>
  <c r="H527" i="29"/>
  <c r="H285" i="29"/>
  <c r="I286" i="29"/>
  <c r="J277" i="29"/>
  <c r="J453" i="29" s="1"/>
  <c r="J281" i="29"/>
  <c r="J457" i="29" s="1"/>
  <c r="J276" i="29"/>
  <c r="J452" i="29" s="1"/>
  <c r="J283" i="29"/>
  <c r="J459" i="29" s="1"/>
  <c r="L348" i="29"/>
  <c r="L334" i="29"/>
  <c r="L362" i="29"/>
  <c r="AE515" i="29"/>
  <c r="AE487" i="29"/>
  <c r="O515" i="29"/>
  <c r="O487" i="29"/>
  <c r="AB515" i="29"/>
  <c r="AB487" i="29"/>
  <c r="AA515" i="29"/>
  <c r="AA487" i="29"/>
  <c r="T515" i="29"/>
  <c r="T487" i="29"/>
  <c r="Y515" i="29"/>
  <c r="Y487" i="29"/>
  <c r="F515" i="29"/>
  <c r="F487" i="29"/>
  <c r="G515" i="29"/>
  <c r="G487" i="29"/>
  <c r="X515" i="29"/>
  <c r="X487" i="29"/>
  <c r="J278" i="29"/>
  <c r="K338" i="29"/>
  <c r="K335" i="29"/>
  <c r="K336" i="29"/>
  <c r="K337" i="29"/>
  <c r="K345" i="29"/>
  <c r="K344" i="29"/>
  <c r="K343" i="29"/>
  <c r="K346" i="29"/>
  <c r="K340" i="29"/>
  <c r="K342" i="29"/>
  <c r="K341" i="29"/>
  <c r="K339" i="29"/>
  <c r="U515" i="29"/>
  <c r="U487" i="29"/>
  <c r="R515" i="29"/>
  <c r="R487" i="29"/>
  <c r="AD515" i="29"/>
  <c r="AD487" i="29"/>
  <c r="N515" i="29"/>
  <c r="N487" i="29"/>
  <c r="AH515" i="29"/>
  <c r="AH487" i="29"/>
  <c r="K352" i="29"/>
  <c r="K349" i="29"/>
  <c r="K350" i="29"/>
  <c r="K351" i="29"/>
  <c r="K356" i="29"/>
  <c r="K358" i="29"/>
  <c r="K359" i="29"/>
  <c r="K357" i="29"/>
  <c r="K360" i="29"/>
  <c r="K355" i="29"/>
  <c r="K354" i="29"/>
  <c r="K353" i="29"/>
  <c r="J375" i="29"/>
  <c r="J376" i="29" s="1"/>
  <c r="K515" i="29"/>
  <c r="K487" i="29"/>
  <c r="AF515" i="29"/>
  <c r="AF487" i="29"/>
  <c r="M515" i="29"/>
  <c r="M487" i="29"/>
  <c r="K365" i="29"/>
  <c r="K366" i="29"/>
  <c r="K363" i="29"/>
  <c r="K364" i="29"/>
  <c r="K374" i="29"/>
  <c r="K373" i="29"/>
  <c r="K372" i="29"/>
  <c r="K369" i="29"/>
  <c r="K368" i="29"/>
  <c r="K370" i="29"/>
  <c r="K371" i="29"/>
  <c r="K367" i="29"/>
  <c r="L515" i="29"/>
  <c r="L487" i="29"/>
  <c r="W515" i="29"/>
  <c r="W487" i="29"/>
  <c r="I515" i="29"/>
  <c r="I487" i="29"/>
  <c r="J515" i="29"/>
  <c r="J487" i="29"/>
  <c r="V515" i="29"/>
  <c r="V487" i="29"/>
  <c r="AC515" i="29"/>
  <c r="AC487" i="29"/>
  <c r="Z515" i="29"/>
  <c r="Z487" i="29"/>
  <c r="J282" i="29"/>
  <c r="J458" i="29" s="1"/>
  <c r="S515" i="29"/>
  <c r="S487" i="29"/>
  <c r="P515" i="29"/>
  <c r="P487" i="29"/>
  <c r="AG515" i="29"/>
  <c r="AG487" i="29"/>
  <c r="H515" i="29"/>
  <c r="H487" i="29"/>
  <c r="Q515" i="29"/>
  <c r="Q487" i="29"/>
  <c r="K274" i="29"/>
  <c r="K450" i="29" s="1"/>
  <c r="K279" i="29"/>
  <c r="K455" i="29" s="1"/>
  <c r="K284" i="29"/>
  <c r="K460" i="29" s="1"/>
  <c r="L273" i="29"/>
  <c r="L449" i="29" s="1"/>
  <c r="L491" i="29"/>
  <c r="E378" i="29"/>
  <c r="E466" i="29" s="1"/>
  <c r="E505" i="29"/>
  <c r="H461" i="29"/>
  <c r="H463" i="29" s="1"/>
  <c r="M32" i="29"/>
  <c r="K258" i="29"/>
  <c r="K244" i="29"/>
  <c r="K230" i="29"/>
  <c r="J233" i="29"/>
  <c r="J234" i="29"/>
  <c r="J235" i="29"/>
  <c r="J236" i="29"/>
  <c r="J237" i="29"/>
  <c r="J238" i="29"/>
  <c r="J240" i="29"/>
  <c r="J239" i="29"/>
  <c r="J241" i="29"/>
  <c r="J242" i="29"/>
  <c r="J251" i="29"/>
  <c r="J247" i="29"/>
  <c r="J250" i="29"/>
  <c r="J249" i="29"/>
  <c r="J255" i="29"/>
  <c r="J254" i="29"/>
  <c r="J253" i="29"/>
  <c r="J248" i="29"/>
  <c r="J252" i="29"/>
  <c r="J256" i="29"/>
  <c r="J268" i="29"/>
  <c r="J267" i="29"/>
  <c r="J269" i="29"/>
  <c r="J270" i="29"/>
  <c r="J264" i="29"/>
  <c r="J265" i="29"/>
  <c r="J262" i="29"/>
  <c r="J263" i="29"/>
  <c r="J266" i="29"/>
  <c r="J261" i="29"/>
  <c r="J260" i="29"/>
  <c r="J259" i="29"/>
  <c r="I271" i="29"/>
  <c r="I272" i="29" s="1"/>
  <c r="J231" i="29"/>
  <c r="J232" i="29"/>
  <c r="J245" i="29"/>
  <c r="J246" i="29"/>
  <c r="M33" i="29"/>
  <c r="L228" i="29"/>
  <c r="E76" i="14"/>
  <c r="E122" i="14" s="1"/>
  <c r="E113" i="14"/>
  <c r="D209" i="52"/>
  <c r="Y197" i="52" s="1"/>
  <c r="M37" i="29"/>
  <c r="M332" i="29" s="1"/>
  <c r="M35" i="29"/>
  <c r="E67" i="14"/>
  <c r="E68" i="14"/>
  <c r="E69" i="14"/>
  <c r="E70" i="14"/>
  <c r="E66" i="14"/>
  <c r="AI57" i="14"/>
  <c r="E43" i="14"/>
  <c r="I527" i="29" l="1"/>
  <c r="I461" i="29"/>
  <c r="I463" i="29" s="1"/>
  <c r="I285" i="29"/>
  <c r="J494" i="29"/>
  <c r="J454" i="29"/>
  <c r="J275" i="29"/>
  <c r="J451" i="29" s="1"/>
  <c r="J286" i="29"/>
  <c r="J492" i="29"/>
  <c r="K283" i="29"/>
  <c r="K459" i="29" s="1"/>
  <c r="J280" i="29"/>
  <c r="J456" i="29" s="1"/>
  <c r="M362" i="29"/>
  <c r="M334" i="29"/>
  <c r="M348" i="29"/>
  <c r="L365" i="29"/>
  <c r="L366" i="29"/>
  <c r="L364" i="29"/>
  <c r="L363" i="29"/>
  <c r="L374" i="29"/>
  <c r="L373" i="29"/>
  <c r="L370" i="29"/>
  <c r="L372" i="29"/>
  <c r="L369" i="29"/>
  <c r="L371" i="29"/>
  <c r="L368" i="29"/>
  <c r="L367" i="29"/>
  <c r="K282" i="29"/>
  <c r="K458" i="29" s="1"/>
  <c r="J493" i="29"/>
  <c r="K495" i="29"/>
  <c r="K375" i="29"/>
  <c r="K376" i="29" s="1"/>
  <c r="L338" i="29"/>
  <c r="L336" i="29"/>
  <c r="L337" i="29"/>
  <c r="L335" i="29"/>
  <c r="L345" i="29"/>
  <c r="L343" i="29"/>
  <c r="L344" i="29"/>
  <c r="L346" i="29"/>
  <c r="L340" i="29"/>
  <c r="L342" i="29"/>
  <c r="L341" i="29"/>
  <c r="L339" i="29"/>
  <c r="K281" i="29"/>
  <c r="L351" i="29"/>
  <c r="L349" i="29"/>
  <c r="L352" i="29"/>
  <c r="L350" i="29"/>
  <c r="L356" i="29"/>
  <c r="L359" i="29"/>
  <c r="L358" i="29"/>
  <c r="L357" i="29"/>
  <c r="L360" i="29"/>
  <c r="L353" i="29"/>
  <c r="L354" i="29"/>
  <c r="L355" i="29"/>
  <c r="K276" i="29"/>
  <c r="K452" i="29" s="1"/>
  <c r="K277" i="29"/>
  <c r="K453" i="29" s="1"/>
  <c r="L284" i="29"/>
  <c r="L460" i="29" s="1"/>
  <c r="K278" i="29"/>
  <c r="L279" i="29"/>
  <c r="L455" i="29" s="1"/>
  <c r="E506" i="29"/>
  <c r="M273" i="29"/>
  <c r="M449" i="29" s="1"/>
  <c r="M491" i="29"/>
  <c r="J462" i="29"/>
  <c r="L274" i="29"/>
  <c r="L450" i="29" s="1"/>
  <c r="N32" i="29"/>
  <c r="L244" i="29"/>
  <c r="L230" i="29"/>
  <c r="L258" i="29"/>
  <c r="K252" i="29"/>
  <c r="K251" i="29"/>
  <c r="K250" i="29"/>
  <c r="K256" i="29"/>
  <c r="K248" i="29"/>
  <c r="K249" i="29"/>
  <c r="K253" i="29"/>
  <c r="K247" i="29"/>
  <c r="K254" i="29"/>
  <c r="K255" i="29"/>
  <c r="K263" i="29"/>
  <c r="K270" i="29"/>
  <c r="K262" i="29"/>
  <c r="K269" i="29"/>
  <c r="K261" i="29"/>
  <c r="K267" i="29"/>
  <c r="K265" i="29"/>
  <c r="K268" i="29"/>
  <c r="K266" i="29"/>
  <c r="K264" i="29"/>
  <c r="K233" i="29"/>
  <c r="K234" i="29"/>
  <c r="K238" i="29"/>
  <c r="K235" i="29"/>
  <c r="K236" i="29"/>
  <c r="K237" i="29"/>
  <c r="K241" i="29"/>
  <c r="K242" i="29"/>
  <c r="K240" i="29"/>
  <c r="K239" i="29"/>
  <c r="J271" i="29"/>
  <c r="J272" i="29" s="1"/>
  <c r="K260" i="29"/>
  <c r="K259" i="29"/>
  <c r="K246" i="29"/>
  <c r="K245" i="29"/>
  <c r="N33" i="29"/>
  <c r="M228" i="29"/>
  <c r="K231" i="29"/>
  <c r="K232" i="29"/>
  <c r="N37" i="29"/>
  <c r="N332" i="29" s="1"/>
  <c r="N35" i="29"/>
  <c r="F65" i="14"/>
  <c r="J527" i="29" l="1"/>
  <c r="J461" i="29"/>
  <c r="J463" i="29" s="1"/>
  <c r="K492" i="29"/>
  <c r="K280" i="29"/>
  <c r="K456" i="29" s="1"/>
  <c r="L281" i="29"/>
  <c r="L457" i="29" s="1"/>
  <c r="L283" i="29"/>
  <c r="L459" i="29" s="1"/>
  <c r="L282" i="29"/>
  <c r="L458" i="29" s="1"/>
  <c r="J285" i="29"/>
  <c r="K275" i="29"/>
  <c r="K451" i="29" s="1"/>
  <c r="K286" i="29"/>
  <c r="L375" i="29"/>
  <c r="L376" i="29" s="1"/>
  <c r="K494" i="29"/>
  <c r="K493" i="29"/>
  <c r="M351" i="29"/>
  <c r="M349" i="29"/>
  <c r="M350" i="29"/>
  <c r="M352" i="29"/>
  <c r="M356" i="29"/>
  <c r="M360" i="29"/>
  <c r="M358" i="29"/>
  <c r="M357" i="29"/>
  <c r="M359" i="29"/>
  <c r="M354" i="29"/>
  <c r="M353" i="29"/>
  <c r="M355" i="29"/>
  <c r="N348" i="29"/>
  <c r="N362" i="29"/>
  <c r="N334" i="29"/>
  <c r="K457" i="29"/>
  <c r="K462" i="29" s="1"/>
  <c r="M336" i="29"/>
  <c r="M337" i="29"/>
  <c r="M338" i="29"/>
  <c r="M335" i="29"/>
  <c r="M345" i="29"/>
  <c r="M343" i="29"/>
  <c r="M344" i="29"/>
  <c r="M346" i="29"/>
  <c r="M340" i="29"/>
  <c r="M342" i="29"/>
  <c r="M341" i="29"/>
  <c r="M339" i="29"/>
  <c r="M365" i="29"/>
  <c r="M366" i="29"/>
  <c r="M363" i="29"/>
  <c r="M364" i="29"/>
  <c r="M373" i="29"/>
  <c r="M374" i="29"/>
  <c r="M369" i="29"/>
  <c r="M372" i="29"/>
  <c r="M370" i="29"/>
  <c r="M371" i="29"/>
  <c r="M368" i="29"/>
  <c r="M367" i="29"/>
  <c r="K454" i="29"/>
  <c r="L278" i="29"/>
  <c r="L454" i="29" s="1"/>
  <c r="L495" i="29"/>
  <c r="M279" i="29"/>
  <c r="M455" i="29" s="1"/>
  <c r="M284" i="29"/>
  <c r="M274" i="29"/>
  <c r="M450" i="29" s="1"/>
  <c r="N273" i="29"/>
  <c r="N449" i="29" s="1"/>
  <c r="N491" i="29"/>
  <c r="AI491" i="29" s="1"/>
  <c r="L277" i="29"/>
  <c r="L276" i="29"/>
  <c r="L286" i="29" s="1"/>
  <c r="O32" i="29"/>
  <c r="L253" i="29"/>
  <c r="L251" i="29"/>
  <c r="L249" i="29"/>
  <c r="L252" i="29"/>
  <c r="L256" i="29"/>
  <c r="L248" i="29"/>
  <c r="L255" i="29"/>
  <c r="L254" i="29"/>
  <c r="L250" i="29"/>
  <c r="L247" i="29"/>
  <c r="M244" i="29"/>
  <c r="M230" i="29"/>
  <c r="M258" i="29"/>
  <c r="L264" i="29"/>
  <c r="L270" i="29"/>
  <c r="L263" i="29"/>
  <c r="L262" i="29"/>
  <c r="L266" i="29"/>
  <c r="L268" i="29"/>
  <c r="L261" i="29"/>
  <c r="L269" i="29"/>
  <c r="L267" i="29"/>
  <c r="L265" i="29"/>
  <c r="L242" i="29"/>
  <c r="L233" i="29"/>
  <c r="L238" i="29"/>
  <c r="L235" i="29"/>
  <c r="L236" i="29"/>
  <c r="L237" i="29"/>
  <c r="L241" i="29"/>
  <c r="L239" i="29"/>
  <c r="L240" i="29"/>
  <c r="L234" i="29"/>
  <c r="L259" i="29"/>
  <c r="L260" i="29"/>
  <c r="L245" i="29"/>
  <c r="L246" i="29"/>
  <c r="O33" i="29"/>
  <c r="N228" i="29"/>
  <c r="K271" i="29"/>
  <c r="K272" i="29" s="1"/>
  <c r="L232" i="29"/>
  <c r="L231" i="29"/>
  <c r="AI35" i="29"/>
  <c r="O37" i="29"/>
  <c r="O332" i="29" s="1"/>
  <c r="AI37" i="29"/>
  <c r="O35" i="29"/>
  <c r="K285" i="29" l="1"/>
  <c r="K527" i="29"/>
  <c r="L280" i="29"/>
  <c r="L456" i="29" s="1"/>
  <c r="N274" i="29"/>
  <c r="N450" i="29" s="1"/>
  <c r="M277" i="29"/>
  <c r="M453" i="29" s="1"/>
  <c r="N284" i="29"/>
  <c r="N495" i="29" s="1"/>
  <c r="M278" i="29"/>
  <c r="M454" i="29" s="1"/>
  <c r="M276" i="29"/>
  <c r="M452" i="29" s="1"/>
  <c r="N349" i="29"/>
  <c r="N350" i="29"/>
  <c r="N351" i="29"/>
  <c r="N352" i="29"/>
  <c r="N356" i="29"/>
  <c r="N359" i="29"/>
  <c r="N360" i="29"/>
  <c r="N358" i="29"/>
  <c r="N357" i="29"/>
  <c r="N354" i="29"/>
  <c r="N355" i="29"/>
  <c r="N353" i="29"/>
  <c r="M375" i="29"/>
  <c r="M376" i="29" s="1"/>
  <c r="M283" i="29"/>
  <c r="M459" i="29" s="1"/>
  <c r="O348" i="29"/>
  <c r="O362" i="29"/>
  <c r="O334" i="29"/>
  <c r="L494" i="29"/>
  <c r="N335" i="29"/>
  <c r="N336" i="29"/>
  <c r="N338" i="29"/>
  <c r="N337" i="29"/>
  <c r="N345" i="29"/>
  <c r="N344" i="29"/>
  <c r="N346" i="29"/>
  <c r="N343" i="29"/>
  <c r="N342" i="29"/>
  <c r="N341" i="29"/>
  <c r="N340" i="29"/>
  <c r="N339" i="29"/>
  <c r="M282" i="29"/>
  <c r="M458" i="29" s="1"/>
  <c r="N279" i="29"/>
  <c r="N455" i="29" s="1"/>
  <c r="N366" i="29"/>
  <c r="N364" i="29"/>
  <c r="N365" i="29"/>
  <c r="N363" i="29"/>
  <c r="N373" i="29"/>
  <c r="N374" i="29"/>
  <c r="N369" i="29"/>
  <c r="N370" i="29"/>
  <c r="N368" i="29"/>
  <c r="N371" i="29"/>
  <c r="N372" i="29"/>
  <c r="N367" i="29"/>
  <c r="M281" i="29"/>
  <c r="M457" i="29" s="1"/>
  <c r="L452" i="29"/>
  <c r="L462" i="29" s="1"/>
  <c r="L492" i="29"/>
  <c r="L453" i="29"/>
  <c r="L493" i="29"/>
  <c r="M460" i="29"/>
  <c r="M495" i="29"/>
  <c r="L275" i="29"/>
  <c r="O273" i="29"/>
  <c r="O449" i="29" s="1"/>
  <c r="O491" i="29"/>
  <c r="K461" i="29"/>
  <c r="K463" i="29" s="1"/>
  <c r="P32" i="29"/>
  <c r="M240" i="29"/>
  <c r="M239" i="29"/>
  <c r="M242" i="29"/>
  <c r="M238" i="29"/>
  <c r="M235" i="29"/>
  <c r="M234" i="29"/>
  <c r="M233" i="29"/>
  <c r="M236" i="29"/>
  <c r="M237" i="29"/>
  <c r="M241" i="29"/>
  <c r="M254" i="29"/>
  <c r="M250" i="29"/>
  <c r="M253" i="29"/>
  <c r="M252" i="29"/>
  <c r="M251" i="29"/>
  <c r="M255" i="29"/>
  <c r="M249" i="29"/>
  <c r="M256" i="29"/>
  <c r="M247" i="29"/>
  <c r="M248" i="29"/>
  <c r="M265" i="29"/>
  <c r="M263" i="29"/>
  <c r="M261" i="29"/>
  <c r="M264" i="29"/>
  <c r="M262" i="29"/>
  <c r="M269" i="29"/>
  <c r="M267" i="29"/>
  <c r="M266" i="29"/>
  <c r="M270" i="29"/>
  <c r="M268" i="29"/>
  <c r="N244" i="29"/>
  <c r="N230" i="29"/>
  <c r="N258" i="29"/>
  <c r="P33" i="29"/>
  <c r="O228" i="29"/>
  <c r="M245" i="29"/>
  <c r="M246" i="29"/>
  <c r="L271" i="29"/>
  <c r="L272" i="29" s="1"/>
  <c r="M260" i="29"/>
  <c r="M259" i="29"/>
  <c r="M232" i="29"/>
  <c r="M231" i="29"/>
  <c r="P37" i="29"/>
  <c r="P332" i="29" s="1"/>
  <c r="P35" i="29"/>
  <c r="L285" i="29" l="1"/>
  <c r="N278" i="29"/>
  <c r="N454" i="29" s="1"/>
  <c r="N277" i="29"/>
  <c r="N453" i="29" s="1"/>
  <c r="N276" i="29"/>
  <c r="N460" i="29"/>
  <c r="M275" i="29"/>
  <c r="N281" i="29"/>
  <c r="M462" i="29"/>
  <c r="M286" i="29"/>
  <c r="O366" i="29"/>
  <c r="O364" i="29"/>
  <c r="O363" i="29"/>
  <c r="O365" i="29"/>
  <c r="O374" i="29"/>
  <c r="O373" i="29"/>
  <c r="O369" i="29"/>
  <c r="O368" i="29"/>
  <c r="O371" i="29"/>
  <c r="O372" i="29"/>
  <c r="O370" i="29"/>
  <c r="O367" i="29"/>
  <c r="N375" i="29"/>
  <c r="N376" i="29" s="1"/>
  <c r="L451" i="29"/>
  <c r="L527" i="29" s="1"/>
  <c r="P348" i="29"/>
  <c r="P334" i="29"/>
  <c r="P362" i="29"/>
  <c r="O352" i="29"/>
  <c r="O350" i="29"/>
  <c r="O349" i="29"/>
  <c r="O351" i="29"/>
  <c r="O356" i="29"/>
  <c r="O360" i="29"/>
  <c r="O358" i="29"/>
  <c r="O357" i="29"/>
  <c r="O359" i="29"/>
  <c r="O353" i="29"/>
  <c r="O354" i="29"/>
  <c r="O355" i="29"/>
  <c r="M492" i="29"/>
  <c r="M494" i="29"/>
  <c r="M493" i="29"/>
  <c r="N283" i="29"/>
  <c r="N459" i="29" s="1"/>
  <c r="N282" i="29"/>
  <c r="N493" i="29" s="1"/>
  <c r="M280" i="29"/>
  <c r="M456" i="29" s="1"/>
  <c r="O337" i="29"/>
  <c r="O336" i="29"/>
  <c r="O338" i="29"/>
  <c r="O335" i="29"/>
  <c r="O345" i="29"/>
  <c r="O346" i="29"/>
  <c r="O343" i="29"/>
  <c r="O344" i="29"/>
  <c r="O340" i="29"/>
  <c r="O341" i="29"/>
  <c r="O342" i="29"/>
  <c r="O339" i="29"/>
  <c r="AI495" i="29"/>
  <c r="O274" i="29"/>
  <c r="O450" i="29" s="1"/>
  <c r="P273" i="29"/>
  <c r="P449" i="29" s="1"/>
  <c r="P491" i="29"/>
  <c r="O279" i="29"/>
  <c r="O455" i="29" s="1"/>
  <c r="O284" i="29"/>
  <c r="Q32" i="29"/>
  <c r="M451" i="29"/>
  <c r="N234" i="29"/>
  <c r="N233" i="29"/>
  <c r="N238" i="29"/>
  <c r="N239" i="29"/>
  <c r="N242" i="29"/>
  <c r="N241" i="29"/>
  <c r="N235" i="29"/>
  <c r="N236" i="29"/>
  <c r="N237" i="29"/>
  <c r="N240" i="29"/>
  <c r="O230" i="29"/>
  <c r="O258" i="29"/>
  <c r="O244" i="29"/>
  <c r="N251" i="29"/>
  <c r="N253" i="29"/>
  <c r="N249" i="29"/>
  <c r="N254" i="29"/>
  <c r="N250" i="29"/>
  <c r="N252" i="29"/>
  <c r="N247" i="29"/>
  <c r="N256" i="29"/>
  <c r="N255" i="29"/>
  <c r="N248" i="29"/>
  <c r="N266" i="29"/>
  <c r="N265" i="29"/>
  <c r="N262" i="29"/>
  <c r="N264" i="29"/>
  <c r="N268" i="29"/>
  <c r="N270" i="29"/>
  <c r="N267" i="29"/>
  <c r="N263" i="29"/>
  <c r="N261" i="29"/>
  <c r="N269" i="29"/>
  <c r="M271" i="29"/>
  <c r="M272" i="29" s="1"/>
  <c r="Q33" i="29"/>
  <c r="P228" i="29"/>
  <c r="N245" i="29"/>
  <c r="N246" i="29"/>
  <c r="N232" i="29"/>
  <c r="N231" i="29"/>
  <c r="N260" i="29"/>
  <c r="N259" i="29"/>
  <c r="Q37" i="29"/>
  <c r="Q332" i="29" s="1"/>
  <c r="AI351" i="29"/>
  <c r="AI352" i="29"/>
  <c r="AI365" i="29"/>
  <c r="AI366" i="29"/>
  <c r="Q35" i="29"/>
  <c r="F12" i="31"/>
  <c r="N275" i="29" l="1"/>
  <c r="N451" i="29" s="1"/>
  <c r="N492" i="29"/>
  <c r="AI492" i="29" s="1"/>
  <c r="N452" i="29"/>
  <c r="N286" i="29"/>
  <c r="AI493" i="29"/>
  <c r="N457" i="29"/>
  <c r="O276" i="29"/>
  <c r="O452" i="29" s="1"/>
  <c r="P274" i="29"/>
  <c r="P450" i="29" s="1"/>
  <c r="N280" i="29"/>
  <c r="N456" i="29" s="1"/>
  <c r="N494" i="29"/>
  <c r="AI494" i="29" s="1"/>
  <c r="M527" i="29"/>
  <c r="O277" i="29"/>
  <c r="O453" i="29" s="1"/>
  <c r="M285" i="29"/>
  <c r="O278" i="29"/>
  <c r="O454" i="29" s="1"/>
  <c r="N458" i="29"/>
  <c r="O375" i="29"/>
  <c r="O376" i="29" s="1"/>
  <c r="P352" i="29"/>
  <c r="P351" i="29"/>
  <c r="P350" i="29"/>
  <c r="P349" i="29"/>
  <c r="P356" i="29"/>
  <c r="P358" i="29"/>
  <c r="P357" i="29"/>
  <c r="P360" i="29"/>
  <c r="P359" i="29"/>
  <c r="P355" i="29"/>
  <c r="P353" i="29"/>
  <c r="P354" i="29"/>
  <c r="Q362" i="29"/>
  <c r="Q348" i="29"/>
  <c r="Q334" i="29"/>
  <c r="L461" i="29"/>
  <c r="L463" i="29" s="1"/>
  <c r="P366" i="29"/>
  <c r="P365" i="29"/>
  <c r="P364" i="29"/>
  <c r="P363" i="29"/>
  <c r="P374" i="29"/>
  <c r="P373" i="29"/>
  <c r="P369" i="29"/>
  <c r="P372" i="29"/>
  <c r="P370" i="29"/>
  <c r="P371" i="29"/>
  <c r="P368" i="29"/>
  <c r="P367" i="29"/>
  <c r="P279" i="29"/>
  <c r="P455" i="29" s="1"/>
  <c r="P336" i="29"/>
  <c r="P337" i="29"/>
  <c r="P335" i="29"/>
  <c r="P338" i="29"/>
  <c r="P345" i="29"/>
  <c r="P343" i="29"/>
  <c r="P344" i="29"/>
  <c r="P346" i="29"/>
  <c r="P342" i="29"/>
  <c r="P340" i="29"/>
  <c r="P341" i="29"/>
  <c r="P339" i="29"/>
  <c r="P284" i="29"/>
  <c r="P495" i="29" s="1"/>
  <c r="O460" i="29"/>
  <c r="O495" i="29"/>
  <c r="O282" i="29"/>
  <c r="O458" i="29" s="1"/>
  <c r="O281" i="29"/>
  <c r="O283" i="29"/>
  <c r="O459" i="29" s="1"/>
  <c r="Q273" i="29"/>
  <c r="Q449" i="29" s="1"/>
  <c r="Q491" i="29"/>
  <c r="M461" i="29"/>
  <c r="M463" i="29" s="1"/>
  <c r="R32" i="29"/>
  <c r="O247" i="29"/>
  <c r="O254" i="29"/>
  <c r="O252" i="29"/>
  <c r="O255" i="29"/>
  <c r="O251" i="29"/>
  <c r="O253" i="29"/>
  <c r="O248" i="29"/>
  <c r="O249" i="29"/>
  <c r="O250" i="29"/>
  <c r="O256" i="29"/>
  <c r="O242" i="29"/>
  <c r="O238" i="29"/>
  <c r="O234" i="29"/>
  <c r="O233" i="29"/>
  <c r="O237" i="29"/>
  <c r="O236" i="29"/>
  <c r="O241" i="29"/>
  <c r="O240" i="29"/>
  <c r="O235" i="29"/>
  <c r="O239" i="29"/>
  <c r="P258" i="29"/>
  <c r="P244" i="29"/>
  <c r="P230" i="29"/>
  <c r="O267" i="29"/>
  <c r="O263" i="29"/>
  <c r="O265" i="29"/>
  <c r="O266" i="29"/>
  <c r="O264" i="29"/>
  <c r="O262" i="29"/>
  <c r="O269" i="29"/>
  <c r="O261" i="29"/>
  <c r="O270" i="29"/>
  <c r="O268" i="29"/>
  <c r="O245" i="29"/>
  <c r="O246" i="29"/>
  <c r="O260" i="29"/>
  <c r="O259" i="29"/>
  <c r="R33" i="29"/>
  <c r="Q228" i="29"/>
  <c r="O232" i="29"/>
  <c r="O231" i="29"/>
  <c r="N271" i="29"/>
  <c r="N272" i="29" s="1"/>
  <c r="R37" i="29"/>
  <c r="R332" i="29" s="1"/>
  <c r="R35" i="29"/>
  <c r="N527" i="29" l="1"/>
  <c r="N462" i="29"/>
  <c r="P276" i="29"/>
  <c r="N461" i="29"/>
  <c r="P277" i="29"/>
  <c r="P453" i="29" s="1"/>
  <c r="P278" i="29"/>
  <c r="P454" i="29" s="1"/>
  <c r="N285" i="29"/>
  <c r="AI527" i="29"/>
  <c r="O492" i="29"/>
  <c r="O457" i="29"/>
  <c r="O462" i="29" s="1"/>
  <c r="P283" i="29"/>
  <c r="P459" i="29" s="1"/>
  <c r="O286" i="29"/>
  <c r="O275" i="29"/>
  <c r="O451" i="29" s="1"/>
  <c r="Q284" i="29"/>
  <c r="Q460" i="29" s="1"/>
  <c r="Q279" i="29"/>
  <c r="Q455" i="29" s="1"/>
  <c r="Q274" i="29"/>
  <c r="Q450" i="29" s="1"/>
  <c r="Q338" i="29"/>
  <c r="Q337" i="29"/>
  <c r="Q336" i="29"/>
  <c r="Q335" i="29"/>
  <c r="Q345" i="29"/>
  <c r="Q346" i="29"/>
  <c r="Q344" i="29"/>
  <c r="Q343" i="29"/>
  <c r="Q342" i="29"/>
  <c r="Q341" i="29"/>
  <c r="Q340" i="29"/>
  <c r="Q339" i="29"/>
  <c r="Q350" i="29"/>
  <c r="Q351" i="29"/>
  <c r="Q349" i="29"/>
  <c r="Q352" i="29"/>
  <c r="Q356" i="29"/>
  <c r="Q359" i="29"/>
  <c r="Q358" i="29"/>
  <c r="Q357" i="29"/>
  <c r="Q360" i="29"/>
  <c r="Q355" i="29"/>
  <c r="Q353" i="29"/>
  <c r="Q354" i="29"/>
  <c r="Q366" i="29"/>
  <c r="Q365" i="29"/>
  <c r="Q363" i="29"/>
  <c r="Q364" i="29"/>
  <c r="Q374" i="29"/>
  <c r="Q373" i="29"/>
  <c r="Q372" i="29"/>
  <c r="Q368" i="29"/>
  <c r="Q371" i="29"/>
  <c r="Q370" i="29"/>
  <c r="Q369" i="29"/>
  <c r="Q367" i="29"/>
  <c r="P375" i="29"/>
  <c r="P376" i="29" s="1"/>
  <c r="R348" i="29"/>
  <c r="R334" i="29"/>
  <c r="R362" i="29"/>
  <c r="P281" i="29"/>
  <c r="P457" i="29" s="1"/>
  <c r="P282" i="29"/>
  <c r="P458" i="29" s="1"/>
  <c r="P460" i="29"/>
  <c r="O493" i="29"/>
  <c r="O494" i="29"/>
  <c r="R273" i="29"/>
  <c r="R449" i="29" s="1"/>
  <c r="R491" i="29"/>
  <c r="O280" i="29"/>
  <c r="O456" i="29" s="1"/>
  <c r="S32" i="29"/>
  <c r="P268" i="29"/>
  <c r="P266" i="29"/>
  <c r="P267" i="29"/>
  <c r="P264" i="29"/>
  <c r="P270" i="29"/>
  <c r="P262" i="29"/>
  <c r="P263" i="29"/>
  <c r="P261" i="29"/>
  <c r="P269" i="29"/>
  <c r="P265" i="29"/>
  <c r="P241" i="29"/>
  <c r="P235" i="29"/>
  <c r="P239" i="29"/>
  <c r="P234" i="29"/>
  <c r="P240" i="29"/>
  <c r="P233" i="29"/>
  <c r="P242" i="29"/>
  <c r="P236" i="29"/>
  <c r="P237" i="29"/>
  <c r="P238" i="29"/>
  <c r="Q258" i="29"/>
  <c r="Q244" i="29"/>
  <c r="Q230" i="29"/>
  <c r="P249" i="29"/>
  <c r="P253" i="29"/>
  <c r="P256" i="29"/>
  <c r="P248" i="29"/>
  <c r="P255" i="29"/>
  <c r="P247" i="29"/>
  <c r="P250" i="29"/>
  <c r="P252" i="29"/>
  <c r="P254" i="29"/>
  <c r="P251" i="29"/>
  <c r="P231" i="29"/>
  <c r="P232" i="29"/>
  <c r="P246" i="29"/>
  <c r="P245" i="29"/>
  <c r="O271" i="29"/>
  <c r="O272" i="29" s="1"/>
  <c r="P259" i="29"/>
  <c r="P260" i="29"/>
  <c r="S33" i="29"/>
  <c r="R228" i="29"/>
  <c r="S37" i="29"/>
  <c r="S332" i="29" s="1"/>
  <c r="S35" i="29"/>
  <c r="N463" i="29" l="1"/>
  <c r="P275" i="29"/>
  <c r="P451" i="29" s="1"/>
  <c r="P452" i="29"/>
  <c r="P462" i="29" s="1"/>
  <c r="O527" i="29"/>
  <c r="P494" i="29"/>
  <c r="Q282" i="29"/>
  <c r="Q458" i="29" s="1"/>
  <c r="Q276" i="29"/>
  <c r="Q452" i="29" s="1"/>
  <c r="Q277" i="29"/>
  <c r="Q453" i="29" s="1"/>
  <c r="Q495" i="29"/>
  <c r="P286" i="29"/>
  <c r="Q283" i="29"/>
  <c r="Q459" i="29" s="1"/>
  <c r="P280" i="29"/>
  <c r="P456" i="29" s="1"/>
  <c r="P492" i="29"/>
  <c r="Q281" i="29"/>
  <c r="Q457" i="29" s="1"/>
  <c r="Q278" i="29"/>
  <c r="Q454" i="29" s="1"/>
  <c r="P493" i="29"/>
  <c r="R274" i="29"/>
  <c r="R450" i="29" s="1"/>
  <c r="R279" i="29"/>
  <c r="R455" i="29" s="1"/>
  <c r="Q375" i="29"/>
  <c r="Q376" i="29" s="1"/>
  <c r="R352" i="29"/>
  <c r="R351" i="29"/>
  <c r="R350" i="29"/>
  <c r="R349" i="29"/>
  <c r="R356" i="29"/>
  <c r="R359" i="29"/>
  <c r="R357" i="29"/>
  <c r="R360" i="29"/>
  <c r="R358" i="29"/>
  <c r="R355" i="29"/>
  <c r="R353" i="29"/>
  <c r="R354" i="29"/>
  <c r="R365" i="29"/>
  <c r="R366" i="29"/>
  <c r="R364" i="29"/>
  <c r="R363" i="29"/>
  <c r="R374" i="29"/>
  <c r="R373" i="29"/>
  <c r="R371" i="29"/>
  <c r="R368" i="29"/>
  <c r="R370" i="29"/>
  <c r="R372" i="29"/>
  <c r="R369" i="29"/>
  <c r="R367" i="29"/>
  <c r="R335" i="29"/>
  <c r="R338" i="29"/>
  <c r="R337" i="29"/>
  <c r="R336" i="29"/>
  <c r="R345" i="29"/>
  <c r="R343" i="29"/>
  <c r="R346" i="29"/>
  <c r="R344" i="29"/>
  <c r="R342" i="29"/>
  <c r="R340" i="29"/>
  <c r="R341" i="29"/>
  <c r="R339" i="29"/>
  <c r="S362" i="29"/>
  <c r="S348" i="29"/>
  <c r="S334" i="29"/>
  <c r="O461" i="29"/>
  <c r="O463" i="29" s="1"/>
  <c r="O285" i="29"/>
  <c r="S273" i="29"/>
  <c r="S449" i="29" s="1"/>
  <c r="S491" i="29"/>
  <c r="R284" i="29"/>
  <c r="T32" i="29"/>
  <c r="Q238" i="29"/>
  <c r="Q236" i="29"/>
  <c r="Q234" i="29"/>
  <c r="Q239" i="29"/>
  <c r="Q235" i="29"/>
  <c r="Q237" i="29"/>
  <c r="Q233" i="29"/>
  <c r="Q240" i="29"/>
  <c r="Q241" i="29"/>
  <c r="Q242" i="29"/>
  <c r="Q254" i="29"/>
  <c r="Q247" i="29"/>
  <c r="Q250" i="29"/>
  <c r="Q255" i="29"/>
  <c r="Q248" i="29"/>
  <c r="Q249" i="29"/>
  <c r="Q256" i="29"/>
  <c r="Q251" i="29"/>
  <c r="Q252" i="29"/>
  <c r="Q253" i="29"/>
  <c r="Q269" i="29"/>
  <c r="Q268" i="29"/>
  <c r="Q270" i="29"/>
  <c r="Q262" i="29"/>
  <c r="Q261" i="29"/>
  <c r="Q265" i="29"/>
  <c r="Q267" i="29"/>
  <c r="Q266" i="29"/>
  <c r="Q263" i="29"/>
  <c r="Q264" i="29"/>
  <c r="R258" i="29"/>
  <c r="R244" i="29"/>
  <c r="R230" i="29"/>
  <c r="Q232" i="29"/>
  <c r="Q231" i="29"/>
  <c r="Q245" i="29"/>
  <c r="Q246" i="29"/>
  <c r="P271" i="29"/>
  <c r="P272" i="29" s="1"/>
  <c r="Q260" i="29"/>
  <c r="Q259" i="29"/>
  <c r="T33" i="29"/>
  <c r="S228" i="29"/>
  <c r="T37" i="29"/>
  <c r="T332" i="29" s="1"/>
  <c r="T35" i="29"/>
  <c r="D42" i="29"/>
  <c r="R278" i="29" l="1"/>
  <c r="R277" i="29"/>
  <c r="R453" i="29" s="1"/>
  <c r="Q493" i="29"/>
  <c r="R276" i="29"/>
  <c r="R452" i="29" s="1"/>
  <c r="Q286" i="29"/>
  <c r="Q492" i="29"/>
  <c r="Q280" i="29"/>
  <c r="Q456" i="29" s="1"/>
  <c r="P285" i="29"/>
  <c r="P527" i="29"/>
  <c r="R281" i="29"/>
  <c r="R282" i="29"/>
  <c r="R458" i="29" s="1"/>
  <c r="Q494" i="29"/>
  <c r="R283" i="29"/>
  <c r="R459" i="29" s="1"/>
  <c r="Q275" i="29"/>
  <c r="Q451" i="29" s="1"/>
  <c r="S274" i="29"/>
  <c r="S450" i="29" s="1"/>
  <c r="Q462" i="29"/>
  <c r="S338" i="29"/>
  <c r="S337" i="29"/>
  <c r="S336" i="29"/>
  <c r="S335" i="29"/>
  <c r="S345" i="29"/>
  <c r="S343" i="29"/>
  <c r="S344" i="29"/>
  <c r="S346" i="29"/>
  <c r="S340" i="29"/>
  <c r="S342" i="29"/>
  <c r="S341" i="29"/>
  <c r="S339" i="29"/>
  <c r="R375" i="29"/>
  <c r="R376" i="29" s="1"/>
  <c r="S366" i="29"/>
  <c r="S365" i="29"/>
  <c r="S363" i="29"/>
  <c r="S364" i="29"/>
  <c r="S373" i="29"/>
  <c r="S374" i="29"/>
  <c r="S372" i="29"/>
  <c r="S371" i="29"/>
  <c r="S370" i="29"/>
  <c r="S369" i="29"/>
  <c r="S368" i="29"/>
  <c r="S367" i="29"/>
  <c r="T348" i="29"/>
  <c r="T334" i="29"/>
  <c r="T362" i="29"/>
  <c r="S352" i="29"/>
  <c r="S349" i="29"/>
  <c r="S351" i="29"/>
  <c r="S350" i="29"/>
  <c r="S356" i="29"/>
  <c r="S359" i="29"/>
  <c r="S358" i="29"/>
  <c r="S360" i="29"/>
  <c r="S357" i="29"/>
  <c r="S353" i="29"/>
  <c r="S354" i="29"/>
  <c r="S355" i="29"/>
  <c r="S284" i="29"/>
  <c r="T273" i="29"/>
  <c r="T449" i="29" s="1"/>
  <c r="T491" i="29"/>
  <c r="R460" i="29"/>
  <c r="R495" i="29"/>
  <c r="S279" i="29"/>
  <c r="S455" i="29" s="1"/>
  <c r="P461" i="29"/>
  <c r="P463" i="29" s="1"/>
  <c r="R454" i="29"/>
  <c r="U32" i="29"/>
  <c r="S258" i="29"/>
  <c r="S244" i="29"/>
  <c r="S230" i="29"/>
  <c r="R251" i="29"/>
  <c r="R250" i="29"/>
  <c r="R255" i="29"/>
  <c r="R249" i="29"/>
  <c r="R247" i="29"/>
  <c r="R256" i="29"/>
  <c r="R254" i="29"/>
  <c r="R248" i="29"/>
  <c r="R252" i="29"/>
  <c r="R253" i="29"/>
  <c r="R261" i="29"/>
  <c r="R262" i="29"/>
  <c r="R263" i="29"/>
  <c r="R264" i="29"/>
  <c r="R267" i="29"/>
  <c r="R269" i="29"/>
  <c r="R268" i="29"/>
  <c r="R270" i="29"/>
  <c r="R265" i="29"/>
  <c r="R266" i="29"/>
  <c r="R236" i="29"/>
  <c r="R237" i="29"/>
  <c r="R233" i="29"/>
  <c r="R234" i="29"/>
  <c r="R235" i="29"/>
  <c r="R238" i="29"/>
  <c r="R241" i="29"/>
  <c r="R242" i="29"/>
  <c r="R239" i="29"/>
  <c r="R240" i="29"/>
  <c r="U33" i="29"/>
  <c r="T228" i="29"/>
  <c r="R260" i="29"/>
  <c r="R259" i="29"/>
  <c r="R246" i="29"/>
  <c r="R245" i="29"/>
  <c r="Q271" i="29"/>
  <c r="Q272" i="29" s="1"/>
  <c r="R232" i="29"/>
  <c r="R231" i="29"/>
  <c r="U37" i="29"/>
  <c r="U332" i="29" s="1"/>
  <c r="U35" i="29"/>
  <c r="S276" i="29" l="1"/>
  <c r="S452" i="29" s="1"/>
  <c r="R286" i="29"/>
  <c r="S277" i="29"/>
  <c r="R275" i="29"/>
  <c r="R451" i="29" s="1"/>
  <c r="S278" i="29"/>
  <c r="S454" i="29" s="1"/>
  <c r="Q461" i="29"/>
  <c r="Q463" i="29" s="1"/>
  <c r="R457" i="29"/>
  <c r="R462" i="29" s="1"/>
  <c r="R492" i="29"/>
  <c r="Q527" i="29"/>
  <c r="R280" i="29"/>
  <c r="R456" i="29" s="1"/>
  <c r="R493" i="29"/>
  <c r="R494" i="29"/>
  <c r="Q285" i="29"/>
  <c r="T284" i="29"/>
  <c r="T460" i="29" s="1"/>
  <c r="S281" i="29"/>
  <c r="S375" i="29"/>
  <c r="S376" i="29" s="1"/>
  <c r="T279" i="29"/>
  <c r="T455" i="29" s="1"/>
  <c r="S282" i="29"/>
  <c r="S458" i="29" s="1"/>
  <c r="T365" i="29"/>
  <c r="T366" i="29"/>
  <c r="T364" i="29"/>
  <c r="T363" i="29"/>
  <c r="T373" i="29"/>
  <c r="T374" i="29"/>
  <c r="T368" i="29"/>
  <c r="T372" i="29"/>
  <c r="T369" i="29"/>
  <c r="T371" i="29"/>
  <c r="T370" i="29"/>
  <c r="T367" i="29"/>
  <c r="S283" i="29"/>
  <c r="S459" i="29" s="1"/>
  <c r="T338" i="29"/>
  <c r="T335" i="29"/>
  <c r="T336" i="29"/>
  <c r="T337" i="29"/>
  <c r="T345" i="29"/>
  <c r="T344" i="29"/>
  <c r="T346" i="29"/>
  <c r="T343" i="29"/>
  <c r="T340" i="29"/>
  <c r="T341" i="29"/>
  <c r="T342" i="29"/>
  <c r="T339" i="29"/>
  <c r="T351" i="29"/>
  <c r="T352" i="29"/>
  <c r="T349" i="29"/>
  <c r="T350" i="29"/>
  <c r="T356" i="29"/>
  <c r="T357" i="29"/>
  <c r="T358" i="29"/>
  <c r="T359" i="29"/>
  <c r="T360" i="29"/>
  <c r="T354" i="29"/>
  <c r="T355" i="29"/>
  <c r="T353" i="29"/>
  <c r="U362" i="29"/>
  <c r="U348" i="29"/>
  <c r="U334" i="29"/>
  <c r="T274" i="29"/>
  <c r="T450" i="29" s="1"/>
  <c r="U273" i="29"/>
  <c r="U449" i="29" s="1"/>
  <c r="U491" i="29"/>
  <c r="S460" i="29"/>
  <c r="S495" i="29"/>
  <c r="V32" i="29"/>
  <c r="S233" i="29"/>
  <c r="S237" i="29"/>
  <c r="S234" i="29"/>
  <c r="S235" i="29"/>
  <c r="S238" i="29"/>
  <c r="S236" i="29"/>
  <c r="S239" i="29"/>
  <c r="S240" i="29"/>
  <c r="S241" i="29"/>
  <c r="S242" i="29"/>
  <c r="S252" i="29"/>
  <c r="S250" i="29"/>
  <c r="S256" i="29"/>
  <c r="S248" i="29"/>
  <c r="S251" i="29"/>
  <c r="S249" i="29"/>
  <c r="S253" i="29"/>
  <c r="S247" i="29"/>
  <c r="S255" i="29"/>
  <c r="S254" i="29"/>
  <c r="T244" i="29"/>
  <c r="T230" i="29"/>
  <c r="T258" i="29"/>
  <c r="S263" i="29"/>
  <c r="S270" i="29"/>
  <c r="S262" i="29"/>
  <c r="S261" i="29"/>
  <c r="S269" i="29"/>
  <c r="S268" i="29"/>
  <c r="S266" i="29"/>
  <c r="S264" i="29"/>
  <c r="S265" i="29"/>
  <c r="S267" i="29"/>
  <c r="V33" i="29"/>
  <c r="U228" i="29"/>
  <c r="R271" i="29"/>
  <c r="R272" i="29" s="1"/>
  <c r="S232" i="29"/>
  <c r="S231" i="29"/>
  <c r="S246" i="29"/>
  <c r="S245" i="29"/>
  <c r="S259" i="29"/>
  <c r="S260" i="29"/>
  <c r="V37" i="29"/>
  <c r="V332" i="29" s="1"/>
  <c r="V35" i="29"/>
  <c r="Q95" i="31"/>
  <c r="Q94" i="31"/>
  <c r="Q93" i="31"/>
  <c r="Q91" i="31"/>
  <c r="Q90" i="31"/>
  <c r="Q89" i="31"/>
  <c r="Q87" i="31"/>
  <c r="Q86" i="31"/>
  <c r="Q71" i="31"/>
  <c r="Q70" i="31"/>
  <c r="Q63" i="31"/>
  <c r="Q62" i="31"/>
  <c r="Q59" i="31"/>
  <c r="Q58" i="31"/>
  <c r="Q57" i="31"/>
  <c r="Q55" i="31"/>
  <c r="Q54" i="31"/>
  <c r="Q53" i="31"/>
  <c r="Q51" i="31"/>
  <c r="Q50" i="31"/>
  <c r="Q67" i="31"/>
  <c r="Q66" i="31"/>
  <c r="Q47" i="31"/>
  <c r="Q46" i="31"/>
  <c r="Q43" i="31"/>
  <c r="Q42" i="31"/>
  <c r="Q39" i="31"/>
  <c r="Q31" i="31"/>
  <c r="Q30" i="31"/>
  <c r="Q27" i="31"/>
  <c r="Q23" i="31"/>
  <c r="Q22" i="31"/>
  <c r="Q19" i="31"/>
  <c r="Q18" i="31"/>
  <c r="Q15" i="31"/>
  <c r="Q14" i="31"/>
  <c r="Q11" i="31"/>
  <c r="Q10" i="31"/>
  <c r="P95" i="31"/>
  <c r="P94" i="31"/>
  <c r="P93" i="31"/>
  <c r="P91" i="31"/>
  <c r="P90" i="31"/>
  <c r="P89" i="31"/>
  <c r="P87" i="31"/>
  <c r="P86" i="31"/>
  <c r="P71" i="31"/>
  <c r="P70" i="31"/>
  <c r="P63" i="31"/>
  <c r="P62" i="31"/>
  <c r="P59" i="31"/>
  <c r="P58" i="31"/>
  <c r="P57" i="31"/>
  <c r="P55" i="31"/>
  <c r="P54" i="31"/>
  <c r="P53" i="31"/>
  <c r="P51" i="31"/>
  <c r="P50" i="31"/>
  <c r="P67" i="31"/>
  <c r="P66" i="31"/>
  <c r="P47" i="31"/>
  <c r="P46" i="31"/>
  <c r="P43" i="31"/>
  <c r="P42" i="31"/>
  <c r="P39" i="31"/>
  <c r="P38" i="31"/>
  <c r="P31" i="31"/>
  <c r="P30" i="31"/>
  <c r="P27" i="31"/>
  <c r="P23" i="31"/>
  <c r="P22" i="31"/>
  <c r="P19" i="31"/>
  <c r="P18" i="31"/>
  <c r="P15" i="31"/>
  <c r="P14" i="31"/>
  <c r="P11" i="31"/>
  <c r="P10" i="31"/>
  <c r="A384" i="29"/>
  <c r="A383" i="29"/>
  <c r="A212" i="29"/>
  <c r="A198" i="29"/>
  <c r="A184" i="29"/>
  <c r="S275" i="29" l="1"/>
  <c r="S451" i="29" s="1"/>
  <c r="T283" i="29"/>
  <c r="T459" i="29" s="1"/>
  <c r="S286" i="29"/>
  <c r="S453" i="29"/>
  <c r="R285" i="29"/>
  <c r="T282" i="29"/>
  <c r="T458" i="29" s="1"/>
  <c r="T281" i="29"/>
  <c r="T457" i="29" s="1"/>
  <c r="R461" i="29"/>
  <c r="R463" i="29" s="1"/>
  <c r="T277" i="29"/>
  <c r="T453" i="29" s="1"/>
  <c r="T276" i="29"/>
  <c r="T452" i="29" s="1"/>
  <c r="T278" i="29"/>
  <c r="S493" i="29"/>
  <c r="S492" i="29"/>
  <c r="R527" i="29"/>
  <c r="S457" i="29"/>
  <c r="S462" i="29" s="1"/>
  <c r="T495" i="29"/>
  <c r="S280" i="29"/>
  <c r="S456" i="29" s="1"/>
  <c r="S494" i="29"/>
  <c r="U337" i="29"/>
  <c r="U335" i="29"/>
  <c r="U336" i="29"/>
  <c r="U338" i="29"/>
  <c r="U345" i="29"/>
  <c r="U343" i="29"/>
  <c r="U344" i="29"/>
  <c r="U346" i="29"/>
  <c r="U342" i="29"/>
  <c r="U341" i="29"/>
  <c r="U340" i="29"/>
  <c r="U339" i="29"/>
  <c r="U352" i="29"/>
  <c r="U350" i="29"/>
  <c r="U349" i="29"/>
  <c r="U351" i="29"/>
  <c r="U356" i="29"/>
  <c r="U358" i="29"/>
  <c r="U359" i="29"/>
  <c r="U360" i="29"/>
  <c r="U357" i="29"/>
  <c r="U355" i="29"/>
  <c r="U354" i="29"/>
  <c r="U353" i="29"/>
  <c r="U365" i="29"/>
  <c r="U366" i="29"/>
  <c r="U363" i="29"/>
  <c r="U364" i="29"/>
  <c r="U374" i="29"/>
  <c r="U373" i="29"/>
  <c r="U369" i="29"/>
  <c r="U370" i="29"/>
  <c r="U368" i="29"/>
  <c r="U371" i="29"/>
  <c r="U372" i="29"/>
  <c r="U367" i="29"/>
  <c r="V348" i="29"/>
  <c r="V334" i="29"/>
  <c r="V362" i="29"/>
  <c r="T375" i="29"/>
  <c r="T376" i="29" s="1"/>
  <c r="U274" i="29"/>
  <c r="U450" i="29" s="1"/>
  <c r="U279" i="29"/>
  <c r="U455" i="29" s="1"/>
  <c r="U284" i="29"/>
  <c r="V273" i="29"/>
  <c r="V449" i="29" s="1"/>
  <c r="V491" i="29"/>
  <c r="W32" i="29"/>
  <c r="T264" i="29"/>
  <c r="T270" i="29"/>
  <c r="T263" i="29"/>
  <c r="T262" i="29"/>
  <c r="T266" i="29"/>
  <c r="T261" i="29"/>
  <c r="T268" i="29"/>
  <c r="T265" i="29"/>
  <c r="T269" i="29"/>
  <c r="T267" i="29"/>
  <c r="T242" i="29"/>
  <c r="T237" i="29"/>
  <c r="T233" i="29"/>
  <c r="T239" i="29"/>
  <c r="T235" i="29"/>
  <c r="T238" i="29"/>
  <c r="T236" i="29"/>
  <c r="T240" i="29"/>
  <c r="T234" i="29"/>
  <c r="T241" i="29"/>
  <c r="T253" i="29"/>
  <c r="T249" i="29"/>
  <c r="T252" i="29"/>
  <c r="T251" i="29"/>
  <c r="T256" i="29"/>
  <c r="T250" i="29"/>
  <c r="T254" i="29"/>
  <c r="T248" i="29"/>
  <c r="T247" i="29"/>
  <c r="T255" i="29"/>
  <c r="U244" i="29"/>
  <c r="U230" i="29"/>
  <c r="U258" i="29"/>
  <c r="S271" i="29"/>
  <c r="S272" i="29" s="1"/>
  <c r="W33" i="29"/>
  <c r="V228" i="29"/>
  <c r="T245" i="29"/>
  <c r="T246" i="29"/>
  <c r="T231" i="29"/>
  <c r="T232" i="29"/>
  <c r="T259" i="29"/>
  <c r="T260" i="29"/>
  <c r="P26" i="31"/>
  <c r="Q61" i="31"/>
  <c r="W37" i="29"/>
  <c r="W332" i="29" s="1"/>
  <c r="W35" i="29"/>
  <c r="A208" i="29"/>
  <c r="A200" i="29"/>
  <c r="A207" i="29"/>
  <c r="A199" i="29"/>
  <c r="A206" i="29"/>
  <c r="A205" i="29"/>
  <c r="A204" i="29"/>
  <c r="A211" i="29"/>
  <c r="A203" i="29"/>
  <c r="A210" i="29"/>
  <c r="A202" i="29"/>
  <c r="A209" i="29"/>
  <c r="A201" i="29"/>
  <c r="A315" i="29"/>
  <c r="A307" i="29"/>
  <c r="A314" i="29"/>
  <c r="A306" i="29"/>
  <c r="A313" i="29"/>
  <c r="A305" i="29"/>
  <c r="A312" i="29"/>
  <c r="A304" i="29"/>
  <c r="A311" i="29"/>
  <c r="A303" i="29"/>
  <c r="A310" i="29"/>
  <c r="A309" i="29"/>
  <c r="A308" i="29"/>
  <c r="A370" i="29"/>
  <c r="A362" i="29"/>
  <c r="A369" i="29"/>
  <c r="A368" i="29"/>
  <c r="A367" i="29"/>
  <c r="A374" i="29"/>
  <c r="A366" i="29"/>
  <c r="A373" i="29"/>
  <c r="A365" i="29"/>
  <c r="A372" i="29"/>
  <c r="A364" i="29"/>
  <c r="A371" i="29"/>
  <c r="A363" i="29"/>
  <c r="A225" i="29"/>
  <c r="A217" i="29"/>
  <c r="A224" i="29"/>
  <c r="A216" i="29"/>
  <c r="A223" i="29"/>
  <c r="A215" i="29"/>
  <c r="A222" i="29"/>
  <c r="A214" i="29"/>
  <c r="A221" i="29"/>
  <c r="A213" i="29"/>
  <c r="A220" i="29"/>
  <c r="A219" i="29"/>
  <c r="A218" i="29"/>
  <c r="A324" i="29"/>
  <c r="A323" i="29"/>
  <c r="A322" i="29"/>
  <c r="A329" i="29"/>
  <c r="A321" i="29"/>
  <c r="A328" i="29"/>
  <c r="A320" i="29"/>
  <c r="A327" i="29"/>
  <c r="A319" i="29"/>
  <c r="A326" i="29"/>
  <c r="A318" i="29"/>
  <c r="A325" i="29"/>
  <c r="A317" i="29"/>
  <c r="A344" i="29"/>
  <c r="A336" i="29"/>
  <c r="A343" i="29"/>
  <c r="A335" i="29"/>
  <c r="A342" i="29"/>
  <c r="A334" i="29"/>
  <c r="A341" i="29"/>
  <c r="A340" i="29"/>
  <c r="A339" i="29"/>
  <c r="A346" i="29"/>
  <c r="A338" i="29"/>
  <c r="A345" i="29"/>
  <c r="A337" i="29"/>
  <c r="A191" i="29"/>
  <c r="A190" i="29"/>
  <c r="A197" i="29"/>
  <c r="A189" i="29"/>
  <c r="A196" i="29"/>
  <c r="A188" i="29"/>
  <c r="A195" i="29"/>
  <c r="A187" i="29"/>
  <c r="A194" i="29"/>
  <c r="A186" i="29"/>
  <c r="A193" i="29"/>
  <c r="A185" i="29"/>
  <c r="A192" i="29"/>
  <c r="A298" i="29"/>
  <c r="A290" i="29"/>
  <c r="A297" i="29"/>
  <c r="A289" i="29"/>
  <c r="A296" i="29"/>
  <c r="A295" i="29"/>
  <c r="A294" i="29"/>
  <c r="A301" i="29"/>
  <c r="A293" i="29"/>
  <c r="A300" i="29"/>
  <c r="A292" i="29"/>
  <c r="A299" i="29"/>
  <c r="A291" i="29"/>
  <c r="A353" i="29"/>
  <c r="A360" i="29"/>
  <c r="A352" i="29"/>
  <c r="A359" i="29"/>
  <c r="A351" i="29"/>
  <c r="A358" i="29"/>
  <c r="A350" i="29"/>
  <c r="A357" i="29"/>
  <c r="A349" i="29"/>
  <c r="A356" i="29"/>
  <c r="A348" i="29"/>
  <c r="A355" i="29"/>
  <c r="A354" i="29"/>
  <c r="Q69" i="31"/>
  <c r="P69" i="31"/>
  <c r="Q65" i="31"/>
  <c r="P61" i="31"/>
  <c r="Q25" i="31"/>
  <c r="Q85" i="31"/>
  <c r="Q9" i="31"/>
  <c r="Q29" i="31"/>
  <c r="Q21" i="31"/>
  <c r="P65" i="31"/>
  <c r="P9" i="31"/>
  <c r="P21" i="31"/>
  <c r="P85" i="31"/>
  <c r="A167" i="29"/>
  <c r="A153" i="29"/>
  <c r="A139" i="29"/>
  <c r="A76" i="29"/>
  <c r="A62" i="29"/>
  <c r="O95" i="31"/>
  <c r="O94" i="31"/>
  <c r="O93" i="31"/>
  <c r="O91" i="31"/>
  <c r="O90" i="31"/>
  <c r="O89" i="31"/>
  <c r="N95" i="31"/>
  <c r="N94" i="31"/>
  <c r="N93" i="31"/>
  <c r="N91" i="31"/>
  <c r="N90" i="31"/>
  <c r="N89" i="31"/>
  <c r="M95" i="31"/>
  <c r="M94" i="31"/>
  <c r="M93" i="31"/>
  <c r="M91" i="31"/>
  <c r="M90" i="31"/>
  <c r="M89" i="31"/>
  <c r="L95" i="31"/>
  <c r="L94" i="31"/>
  <c r="L93" i="31"/>
  <c r="L91" i="31"/>
  <c r="L90" i="31"/>
  <c r="L89" i="31"/>
  <c r="T494" i="29" l="1"/>
  <c r="T493" i="29"/>
  <c r="T280" i="29"/>
  <c r="T456" i="29" s="1"/>
  <c r="T286" i="29"/>
  <c r="T275" i="29"/>
  <c r="T451" i="29" s="1"/>
  <c r="T454" i="29"/>
  <c r="T492" i="29"/>
  <c r="U282" i="29"/>
  <c r="U458" i="29" s="1"/>
  <c r="S527" i="29"/>
  <c r="S285" i="29"/>
  <c r="U281" i="29"/>
  <c r="U457" i="29" s="1"/>
  <c r="U283" i="29"/>
  <c r="U459" i="29" s="1"/>
  <c r="U276" i="29"/>
  <c r="U278" i="29"/>
  <c r="U454" i="29" s="1"/>
  <c r="U277" i="29"/>
  <c r="U453" i="29" s="1"/>
  <c r="V274" i="29"/>
  <c r="V450" i="29" s="1"/>
  <c r="T462" i="29"/>
  <c r="V284" i="29"/>
  <c r="V460" i="29" s="1"/>
  <c r="V366" i="29"/>
  <c r="V365" i="29"/>
  <c r="V363" i="29"/>
  <c r="V364" i="29"/>
  <c r="V373" i="29"/>
  <c r="V374" i="29"/>
  <c r="V371" i="29"/>
  <c r="V368" i="29"/>
  <c r="V370" i="29"/>
  <c r="V369" i="29"/>
  <c r="V372" i="29"/>
  <c r="V367" i="29"/>
  <c r="V336" i="29"/>
  <c r="V337" i="29"/>
  <c r="V338" i="29"/>
  <c r="V335" i="29"/>
  <c r="V345" i="29"/>
  <c r="V346" i="29"/>
  <c r="V343" i="29"/>
  <c r="V344" i="29"/>
  <c r="V341" i="29"/>
  <c r="V340" i="29"/>
  <c r="V342" i="29"/>
  <c r="V339" i="29"/>
  <c r="W334" i="29"/>
  <c r="W348" i="29"/>
  <c r="W362" i="29"/>
  <c r="V352" i="29"/>
  <c r="V351" i="29"/>
  <c r="V349" i="29"/>
  <c r="V350" i="29"/>
  <c r="V356" i="29"/>
  <c r="V358" i="29"/>
  <c r="V357" i="29"/>
  <c r="V360" i="29"/>
  <c r="V359" i="29"/>
  <c r="V354" i="29"/>
  <c r="V353" i="29"/>
  <c r="V355" i="29"/>
  <c r="U375" i="29"/>
  <c r="U376" i="29" s="1"/>
  <c r="U460" i="29"/>
  <c r="U495" i="29"/>
  <c r="W273" i="29"/>
  <c r="W449" i="29" s="1"/>
  <c r="W491" i="29"/>
  <c r="V279" i="29"/>
  <c r="V455" i="29" s="1"/>
  <c r="S461" i="29"/>
  <c r="S463" i="29" s="1"/>
  <c r="X32" i="29"/>
  <c r="U240" i="29"/>
  <c r="U239" i="29"/>
  <c r="U237" i="29"/>
  <c r="U241" i="29"/>
  <c r="U238" i="29"/>
  <c r="U235" i="29"/>
  <c r="U234" i="29"/>
  <c r="U233" i="29"/>
  <c r="U236" i="29"/>
  <c r="U242" i="29"/>
  <c r="U254" i="29"/>
  <c r="U250" i="29"/>
  <c r="U253" i="29"/>
  <c r="U252" i="29"/>
  <c r="U248" i="29"/>
  <c r="U251" i="29"/>
  <c r="U255" i="29"/>
  <c r="U249" i="29"/>
  <c r="U247" i="29"/>
  <c r="U256" i="29"/>
  <c r="V244" i="29"/>
  <c r="V230" i="29"/>
  <c r="V258" i="29"/>
  <c r="U265" i="29"/>
  <c r="U264" i="29"/>
  <c r="U261" i="29"/>
  <c r="U263" i="29"/>
  <c r="U270" i="29"/>
  <c r="U268" i="29"/>
  <c r="U266" i="29"/>
  <c r="U262" i="29"/>
  <c r="U267" i="29"/>
  <c r="U269" i="29"/>
  <c r="T271" i="29"/>
  <c r="T272" i="29" s="1"/>
  <c r="X33" i="29"/>
  <c r="W228" i="29"/>
  <c r="U260" i="29"/>
  <c r="U259" i="29"/>
  <c r="U245" i="29"/>
  <c r="U246" i="29"/>
  <c r="U232" i="29"/>
  <c r="U231" i="29"/>
  <c r="P13" i="31"/>
  <c r="P45" i="31"/>
  <c r="Q45" i="31"/>
  <c r="Q13" i="31"/>
  <c r="Q41" i="31"/>
  <c r="Q49" i="31"/>
  <c r="Q17" i="31"/>
  <c r="P41" i="31"/>
  <c r="P49" i="31"/>
  <c r="Q37" i="31"/>
  <c r="Q26" i="31"/>
  <c r="Q38" i="31"/>
  <c r="P81" i="31"/>
  <c r="P73" i="31"/>
  <c r="P77" i="31"/>
  <c r="Q77" i="31"/>
  <c r="Q81" i="31"/>
  <c r="Q73" i="31"/>
  <c r="X37" i="29"/>
  <c r="X332" i="29" s="1"/>
  <c r="X35" i="29"/>
  <c r="A145" i="29"/>
  <c r="A152" i="29"/>
  <c r="A144" i="29"/>
  <c r="A151" i="29"/>
  <c r="A143" i="29"/>
  <c r="A150" i="29"/>
  <c r="A142" i="29"/>
  <c r="A149" i="29"/>
  <c r="A141" i="29"/>
  <c r="A148" i="29"/>
  <c r="A140" i="29"/>
  <c r="A147" i="29"/>
  <c r="A146" i="29"/>
  <c r="A162" i="29"/>
  <c r="A154" i="29"/>
  <c r="A161" i="29"/>
  <c r="A160" i="29"/>
  <c r="A159" i="29"/>
  <c r="A166" i="29"/>
  <c r="A158" i="29"/>
  <c r="A165" i="29"/>
  <c r="A157" i="29"/>
  <c r="A164" i="29"/>
  <c r="A156" i="29"/>
  <c r="A163" i="29"/>
  <c r="A155" i="29"/>
  <c r="A179" i="29"/>
  <c r="A171" i="29"/>
  <c r="A178" i="29"/>
  <c r="A170" i="29"/>
  <c r="A177" i="29"/>
  <c r="A169" i="29"/>
  <c r="A176" i="29"/>
  <c r="A168" i="29"/>
  <c r="A175" i="29"/>
  <c r="A174" i="29"/>
  <c r="A173" i="29"/>
  <c r="A180" i="29"/>
  <c r="A172" i="29"/>
  <c r="P37" i="31"/>
  <c r="P29" i="31"/>
  <c r="P17" i="31"/>
  <c r="P25" i="31"/>
  <c r="T461" i="29" l="1"/>
  <c r="T463" i="29" s="1"/>
  <c r="T285" i="29"/>
  <c r="U286" i="29"/>
  <c r="U280" i="29"/>
  <c r="U456" i="29" s="1"/>
  <c r="U494" i="29"/>
  <c r="W284" i="29"/>
  <c r="W460" i="29" s="1"/>
  <c r="W274" i="29"/>
  <c r="W450" i="29" s="1"/>
  <c r="V277" i="29"/>
  <c r="V453" i="29" s="1"/>
  <c r="U493" i="29"/>
  <c r="V276" i="29"/>
  <c r="U275" i="29"/>
  <c r="U451" i="29" s="1"/>
  <c r="U492" i="29"/>
  <c r="U452" i="29"/>
  <c r="U462" i="29" s="1"/>
  <c r="W279" i="29"/>
  <c r="W455" i="29" s="1"/>
  <c r="V278" i="29"/>
  <c r="V495" i="29"/>
  <c r="V375" i="29"/>
  <c r="V376" i="29" s="1"/>
  <c r="X348" i="29"/>
  <c r="X362" i="29"/>
  <c r="X334" i="29"/>
  <c r="W363" i="29"/>
  <c r="W364" i="29"/>
  <c r="W365" i="29"/>
  <c r="W366" i="29"/>
  <c r="W373" i="29"/>
  <c r="W374" i="29"/>
  <c r="W368" i="29"/>
  <c r="W370" i="29"/>
  <c r="W372" i="29"/>
  <c r="W371" i="29"/>
  <c r="W369" i="29"/>
  <c r="W367" i="29"/>
  <c r="W349" i="29"/>
  <c r="W350" i="29"/>
  <c r="W352" i="29"/>
  <c r="W351" i="29"/>
  <c r="W356" i="29"/>
  <c r="W359" i="29"/>
  <c r="W357" i="29"/>
  <c r="W360" i="29"/>
  <c r="W358" i="29"/>
  <c r="W353" i="29"/>
  <c r="W354" i="29"/>
  <c r="W355" i="29"/>
  <c r="W338" i="29"/>
  <c r="W336" i="29"/>
  <c r="W337" i="29"/>
  <c r="W335" i="29"/>
  <c r="W345" i="29"/>
  <c r="W343" i="29"/>
  <c r="W346" i="29"/>
  <c r="W344" i="29"/>
  <c r="W341" i="29"/>
  <c r="W340" i="29"/>
  <c r="W342" i="29"/>
  <c r="W339" i="29"/>
  <c r="T527" i="29"/>
  <c r="X273" i="29"/>
  <c r="X449" i="29" s="1"/>
  <c r="X491" i="29"/>
  <c r="AJ491" i="29" s="1"/>
  <c r="V283" i="29"/>
  <c r="V459" i="29" s="1"/>
  <c r="V282" i="29"/>
  <c r="V458" i="29" s="1"/>
  <c r="V281" i="29"/>
  <c r="Y32" i="29"/>
  <c r="V266" i="29"/>
  <c r="V265" i="29"/>
  <c r="V262" i="29"/>
  <c r="V264" i="29"/>
  <c r="V268" i="29"/>
  <c r="V263" i="29"/>
  <c r="V261" i="29"/>
  <c r="V269" i="29"/>
  <c r="V270" i="29"/>
  <c r="V267" i="29"/>
  <c r="W230" i="29"/>
  <c r="W258" i="29"/>
  <c r="W244" i="29"/>
  <c r="V242" i="29"/>
  <c r="V233" i="29"/>
  <c r="V239" i="29"/>
  <c r="V241" i="29"/>
  <c r="V237" i="29"/>
  <c r="V236" i="29"/>
  <c r="V235" i="29"/>
  <c r="V240" i="29"/>
  <c r="V238" i="29"/>
  <c r="V234" i="29"/>
  <c r="V254" i="29"/>
  <c r="V251" i="29"/>
  <c r="V250" i="29"/>
  <c r="V252" i="29"/>
  <c r="V256" i="29"/>
  <c r="V248" i="29"/>
  <c r="V255" i="29"/>
  <c r="V247" i="29"/>
  <c r="V249" i="29"/>
  <c r="V253" i="29"/>
  <c r="U271" i="29"/>
  <c r="U272" i="29" s="1"/>
  <c r="Y33" i="29"/>
  <c r="X228" i="29"/>
  <c r="V231" i="29"/>
  <c r="V232" i="29"/>
  <c r="V260" i="29"/>
  <c r="V259" i="29"/>
  <c r="V246" i="29"/>
  <c r="V245" i="29"/>
  <c r="Y37" i="29"/>
  <c r="Y332" i="29" s="1"/>
  <c r="AJ37" i="29"/>
  <c r="Y35" i="29"/>
  <c r="AJ35" i="29"/>
  <c r="U527" i="29" l="1"/>
  <c r="U461" i="29"/>
  <c r="U463" i="29" s="1"/>
  <c r="W276" i="29"/>
  <c r="W452" i="29" s="1"/>
  <c r="W278" i="29"/>
  <c r="V286" i="29"/>
  <c r="W495" i="29"/>
  <c r="W282" i="29"/>
  <c r="W458" i="29" s="1"/>
  <c r="W277" i="29"/>
  <c r="W453" i="29" s="1"/>
  <c r="W283" i="29"/>
  <c r="W459" i="29" s="1"/>
  <c r="V452" i="29"/>
  <c r="X279" i="29"/>
  <c r="X455" i="29" s="1"/>
  <c r="X284" i="29"/>
  <c r="X460" i="29" s="1"/>
  <c r="V492" i="29"/>
  <c r="V275" i="29"/>
  <c r="V451" i="29" s="1"/>
  <c r="V454" i="29"/>
  <c r="U285" i="29"/>
  <c r="W281" i="29"/>
  <c r="X274" i="29"/>
  <c r="X450" i="29" s="1"/>
  <c r="V457" i="29"/>
  <c r="W375" i="29"/>
  <c r="W376" i="29" s="1"/>
  <c r="Y362" i="29"/>
  <c r="Y334" i="29"/>
  <c r="Y348" i="29"/>
  <c r="X336" i="29"/>
  <c r="X337" i="29"/>
  <c r="X335" i="29"/>
  <c r="X338" i="29"/>
  <c r="X345" i="29"/>
  <c r="X343" i="29"/>
  <c r="X344" i="29"/>
  <c r="X346" i="29"/>
  <c r="X340" i="29"/>
  <c r="X341" i="29"/>
  <c r="X342" i="29"/>
  <c r="X339" i="29"/>
  <c r="X365" i="29"/>
  <c r="X366" i="29"/>
  <c r="X364" i="29"/>
  <c r="X363" i="29"/>
  <c r="X374" i="29"/>
  <c r="X373" i="29"/>
  <c r="X369" i="29"/>
  <c r="X368" i="29"/>
  <c r="X371" i="29"/>
  <c r="X372" i="29"/>
  <c r="X370" i="29"/>
  <c r="X367" i="29"/>
  <c r="X351" i="29"/>
  <c r="X352" i="29"/>
  <c r="X350" i="29"/>
  <c r="X349" i="29"/>
  <c r="X356" i="29"/>
  <c r="X360" i="29"/>
  <c r="X357" i="29"/>
  <c r="X359" i="29"/>
  <c r="X358" i="29"/>
  <c r="X354" i="29"/>
  <c r="X353" i="29"/>
  <c r="X355" i="29"/>
  <c r="W454" i="29"/>
  <c r="V280" i="29"/>
  <c r="V493" i="29"/>
  <c r="Y273" i="29"/>
  <c r="Y449" i="29" s="1"/>
  <c r="Y491" i="29"/>
  <c r="V494" i="29"/>
  <c r="Z32" i="29"/>
  <c r="X258" i="29"/>
  <c r="X244" i="29"/>
  <c r="X230" i="29"/>
  <c r="W267" i="29"/>
  <c r="W265" i="29"/>
  <c r="W266" i="29"/>
  <c r="W263" i="29"/>
  <c r="W270" i="29"/>
  <c r="W268" i="29"/>
  <c r="W264" i="29"/>
  <c r="W262" i="29"/>
  <c r="W269" i="29"/>
  <c r="W261" i="29"/>
  <c r="W242" i="29"/>
  <c r="W233" i="29"/>
  <c r="W234" i="29"/>
  <c r="W238" i="29"/>
  <c r="W241" i="29"/>
  <c r="W237" i="29"/>
  <c r="W236" i="29"/>
  <c r="W239" i="29"/>
  <c r="W240" i="29"/>
  <c r="W235" i="29"/>
  <c r="W255" i="29"/>
  <c r="W254" i="29"/>
  <c r="W252" i="29"/>
  <c r="W247" i="29"/>
  <c r="W256" i="29"/>
  <c r="W250" i="29"/>
  <c r="W251" i="29"/>
  <c r="W248" i="29"/>
  <c r="W249" i="29"/>
  <c r="W253" i="29"/>
  <c r="W232" i="29"/>
  <c r="W231" i="29"/>
  <c r="V271" i="29"/>
  <c r="V272" i="29" s="1"/>
  <c r="Z33" i="29"/>
  <c r="Y228" i="29"/>
  <c r="W260" i="29"/>
  <c r="W259" i="29"/>
  <c r="W245" i="29"/>
  <c r="W246" i="29"/>
  <c r="AI338" i="29"/>
  <c r="AI337" i="29"/>
  <c r="Z37" i="29"/>
  <c r="Z332" i="29" s="1"/>
  <c r="Z35" i="29"/>
  <c r="W493" i="29" l="1"/>
  <c r="W280" i="29"/>
  <c r="W456" i="29" s="1"/>
  <c r="W275" i="29"/>
  <c r="W451" i="29" s="1"/>
  <c r="W527" i="29" s="1"/>
  <c r="X282" i="29"/>
  <c r="X458" i="29" s="1"/>
  <c r="V462" i="29"/>
  <c r="X283" i="29"/>
  <c r="X459" i="29" s="1"/>
  <c r="X281" i="29"/>
  <c r="X457" i="29" s="1"/>
  <c r="X495" i="29"/>
  <c r="AJ495" i="29" s="1"/>
  <c r="V285" i="29"/>
  <c r="W494" i="29"/>
  <c r="W492" i="29"/>
  <c r="X277" i="29"/>
  <c r="X493" i="29" s="1"/>
  <c r="W457" i="29"/>
  <c r="W462" i="29" s="1"/>
  <c r="W286" i="29"/>
  <c r="X276" i="29"/>
  <c r="X278" i="29"/>
  <c r="X454" i="29" s="1"/>
  <c r="V456" i="29"/>
  <c r="V461" i="29" s="1"/>
  <c r="Y279" i="29"/>
  <c r="Y455" i="29" s="1"/>
  <c r="Y284" i="29"/>
  <c r="Y460" i="29" s="1"/>
  <c r="X375" i="29"/>
  <c r="X376" i="29" s="1"/>
  <c r="Z348" i="29"/>
  <c r="Z334" i="29"/>
  <c r="Z362" i="29"/>
  <c r="Y351" i="29"/>
  <c r="Y350" i="29"/>
  <c r="Y352" i="29"/>
  <c r="Y349" i="29"/>
  <c r="Y356" i="29"/>
  <c r="Y358" i="29"/>
  <c r="Y360" i="29"/>
  <c r="Y357" i="29"/>
  <c r="Y359" i="29"/>
  <c r="Y355" i="29"/>
  <c r="Y353" i="29"/>
  <c r="Y354" i="29"/>
  <c r="Y365" i="29"/>
  <c r="Y366" i="29"/>
  <c r="Y363" i="29"/>
  <c r="Y364" i="29"/>
  <c r="Y374" i="29"/>
  <c r="Y373" i="29"/>
  <c r="Y370" i="29"/>
  <c r="Y371" i="29"/>
  <c r="Y368" i="29"/>
  <c r="Y372" i="29"/>
  <c r="Y369" i="29"/>
  <c r="Y367" i="29"/>
  <c r="Y336" i="29"/>
  <c r="Y337" i="29"/>
  <c r="Y338" i="29"/>
  <c r="Y335" i="29"/>
  <c r="Y345" i="29"/>
  <c r="Y343" i="29"/>
  <c r="Y346" i="29"/>
  <c r="Y344" i="29"/>
  <c r="Y342" i="29"/>
  <c r="Y340" i="29"/>
  <c r="Y341" i="29"/>
  <c r="Y339" i="29"/>
  <c r="Y274" i="29"/>
  <c r="Y450" i="29" s="1"/>
  <c r="Z273" i="29"/>
  <c r="Z449" i="29" s="1"/>
  <c r="Z491" i="29"/>
  <c r="AA32" i="29"/>
  <c r="W285" i="29"/>
  <c r="X241" i="29"/>
  <c r="X242" i="29"/>
  <c r="X234" i="29"/>
  <c r="X239" i="29"/>
  <c r="X235" i="29"/>
  <c r="X240" i="29"/>
  <c r="X236" i="29"/>
  <c r="X233" i="29"/>
  <c r="X238" i="29"/>
  <c r="X237" i="29"/>
  <c r="X249" i="29"/>
  <c r="X253" i="29"/>
  <c r="X256" i="29"/>
  <c r="X248" i="29"/>
  <c r="X255" i="29"/>
  <c r="X247" i="29"/>
  <c r="X250" i="29"/>
  <c r="X254" i="29"/>
  <c r="X252" i="29"/>
  <c r="X251" i="29"/>
  <c r="Y258" i="29"/>
  <c r="Y244" i="29"/>
  <c r="Y230" i="29"/>
  <c r="X268" i="29"/>
  <c r="X266" i="29"/>
  <c r="X264" i="29"/>
  <c r="X267" i="29"/>
  <c r="X270" i="29"/>
  <c r="X265" i="29"/>
  <c r="X263" i="29"/>
  <c r="X261" i="29"/>
  <c r="X262" i="29"/>
  <c r="X269" i="29"/>
  <c r="X231" i="29"/>
  <c r="X232" i="29"/>
  <c r="W271" i="29"/>
  <c r="W272" i="29" s="1"/>
  <c r="X245" i="29"/>
  <c r="X246" i="29"/>
  <c r="X260" i="29"/>
  <c r="X259" i="29"/>
  <c r="AA33" i="29"/>
  <c r="Z228" i="29"/>
  <c r="AJ352" i="29"/>
  <c r="AJ351" i="29"/>
  <c r="AJ366" i="29"/>
  <c r="AJ365" i="29"/>
  <c r="AA37" i="29"/>
  <c r="AA332" i="29" s="1"/>
  <c r="AJ337" i="29"/>
  <c r="AJ338" i="29"/>
  <c r="AA35" i="29"/>
  <c r="AJ493" i="29" l="1"/>
  <c r="X492" i="29"/>
  <c r="AJ492" i="29" s="1"/>
  <c r="W461" i="29"/>
  <c r="W463" i="29" s="1"/>
  <c r="V463" i="29"/>
  <c r="X280" i="29"/>
  <c r="X456" i="29" s="1"/>
  <c r="X453" i="29"/>
  <c r="X452" i="29"/>
  <c r="X462" i="29" s="1"/>
  <c r="X286" i="29"/>
  <c r="Z284" i="29"/>
  <c r="Z460" i="29" s="1"/>
  <c r="X275" i="29"/>
  <c r="X494" i="29"/>
  <c r="AJ494" i="29" s="1"/>
  <c r="V527" i="29"/>
  <c r="Z279" i="29"/>
  <c r="Z455" i="29" s="1"/>
  <c r="Y495" i="29"/>
  <c r="Y283" i="29"/>
  <c r="Y459" i="29" s="1"/>
  <c r="Z274" i="29"/>
  <c r="Z450" i="29" s="1"/>
  <c r="Y281" i="29"/>
  <c r="Y457" i="29" s="1"/>
  <c r="Y282" i="29"/>
  <c r="Y458" i="29" s="1"/>
  <c r="Y276" i="29"/>
  <c r="Z366" i="29"/>
  <c r="Z365" i="29"/>
  <c r="Z363" i="29"/>
  <c r="Z364" i="29"/>
  <c r="Z373" i="29"/>
  <c r="Z374" i="29"/>
  <c r="Z370" i="29"/>
  <c r="Z372" i="29"/>
  <c r="Z368" i="29"/>
  <c r="Z369" i="29"/>
  <c r="Z371" i="29"/>
  <c r="Z367" i="29"/>
  <c r="AA362" i="29"/>
  <c r="AA334" i="29"/>
  <c r="AA348" i="29"/>
  <c r="Z352" i="29"/>
  <c r="Z351" i="29"/>
  <c r="Z349" i="29"/>
  <c r="Z350" i="29"/>
  <c r="Z356" i="29"/>
  <c r="Z357" i="29"/>
  <c r="Z359" i="29"/>
  <c r="Z360" i="29"/>
  <c r="Z358" i="29"/>
  <c r="Z354" i="29"/>
  <c r="Z353" i="29"/>
  <c r="Z355" i="29"/>
  <c r="Z338" i="29"/>
  <c r="Z335" i="29"/>
  <c r="Z336" i="29"/>
  <c r="Z337" i="29"/>
  <c r="Z345" i="29"/>
  <c r="Z344" i="29"/>
  <c r="Z343" i="29"/>
  <c r="Z346" i="29"/>
  <c r="Z340" i="29"/>
  <c r="Z341" i="29"/>
  <c r="Z342" i="29"/>
  <c r="Z339" i="29"/>
  <c r="Y375" i="29"/>
  <c r="Y376" i="29" s="1"/>
  <c r="Y277" i="29"/>
  <c r="Y453" i="29" s="1"/>
  <c r="Y278" i="29"/>
  <c r="Y454" i="29" s="1"/>
  <c r="AA273" i="29"/>
  <c r="AA449" i="29" s="1"/>
  <c r="AA491" i="29"/>
  <c r="AB32" i="29"/>
  <c r="Y233" i="29"/>
  <c r="Y236" i="29"/>
  <c r="Y235" i="29"/>
  <c r="Y234" i="29"/>
  <c r="Y240" i="29"/>
  <c r="Y238" i="29"/>
  <c r="Y241" i="29"/>
  <c r="Y239" i="29"/>
  <c r="Y242" i="29"/>
  <c r="Y237" i="29"/>
  <c r="Y252" i="29"/>
  <c r="Y253" i="29"/>
  <c r="Y255" i="29"/>
  <c r="Y247" i="29"/>
  <c r="Y250" i="29"/>
  <c r="Y256" i="29"/>
  <c r="Y254" i="29"/>
  <c r="Y248" i="29"/>
  <c r="Y251" i="29"/>
  <c r="Y249" i="29"/>
  <c r="Z258" i="29"/>
  <c r="Z244" i="29"/>
  <c r="Z230" i="29"/>
  <c r="Y267" i="29"/>
  <c r="Y270" i="29"/>
  <c r="Y261" i="29"/>
  <c r="Y262" i="29"/>
  <c r="Y263" i="29"/>
  <c r="Y266" i="29"/>
  <c r="Y268" i="29"/>
  <c r="Y269" i="29"/>
  <c r="Y264" i="29"/>
  <c r="Y265" i="29"/>
  <c r="AB33" i="29"/>
  <c r="AA228" i="29"/>
  <c r="Y260" i="29"/>
  <c r="Y259" i="29"/>
  <c r="X271" i="29"/>
  <c r="X272" i="29" s="1"/>
  <c r="Y231" i="29"/>
  <c r="Y232" i="29"/>
  <c r="Y246" i="29"/>
  <c r="Y245" i="29"/>
  <c r="AB37" i="29"/>
  <c r="AB332" i="29" s="1"/>
  <c r="AB35" i="29"/>
  <c r="X285" i="29" l="1"/>
  <c r="Z495" i="29"/>
  <c r="Y494" i="29"/>
  <c r="X451" i="29"/>
  <c r="X527" i="29" s="1"/>
  <c r="AJ527" i="29" s="1"/>
  <c r="Z282" i="29"/>
  <c r="Z458" i="29" s="1"/>
  <c r="Z283" i="29"/>
  <c r="Z459" i="29" s="1"/>
  <c r="Y280" i="29"/>
  <c r="Y456" i="29" s="1"/>
  <c r="Z281" i="29"/>
  <c r="Z457" i="29" s="1"/>
  <c r="Y286" i="29"/>
  <c r="Y492" i="29"/>
  <c r="Z276" i="29"/>
  <c r="Z452" i="29" s="1"/>
  <c r="Y452" i="29"/>
  <c r="Y462" i="29" s="1"/>
  <c r="Z278" i="29"/>
  <c r="Z454" i="29" s="1"/>
  <c r="Z277" i="29"/>
  <c r="Z375" i="29"/>
  <c r="Z376" i="29" s="1"/>
  <c r="Y275" i="29"/>
  <c r="Y451" i="29" s="1"/>
  <c r="Y527" i="29" s="1"/>
  <c r="Y493" i="29"/>
  <c r="AA338" i="29"/>
  <c r="AA335" i="29"/>
  <c r="AA337" i="29"/>
  <c r="AA336" i="29"/>
  <c r="AA345" i="29"/>
  <c r="AA343" i="29"/>
  <c r="AA344" i="29"/>
  <c r="AA346" i="29"/>
  <c r="AA340" i="29"/>
  <c r="AA341" i="29"/>
  <c r="AA342" i="29"/>
  <c r="AA339" i="29"/>
  <c r="AA349" i="29"/>
  <c r="AA352" i="29"/>
  <c r="AA351" i="29"/>
  <c r="AA350" i="29"/>
  <c r="AA356" i="29"/>
  <c r="AA357" i="29"/>
  <c r="AA360" i="29"/>
  <c r="AA358" i="29"/>
  <c r="AA359" i="29"/>
  <c r="AA353" i="29"/>
  <c r="AA355" i="29"/>
  <c r="AA354" i="29"/>
  <c r="AA365" i="29"/>
  <c r="AA366" i="29"/>
  <c r="AA363" i="29"/>
  <c r="AA364" i="29"/>
  <c r="AA373" i="29"/>
  <c r="AA374" i="29"/>
  <c r="AA368" i="29"/>
  <c r="AA370" i="29"/>
  <c r="AA371" i="29"/>
  <c r="AA372" i="29"/>
  <c r="AA369" i="29"/>
  <c r="AA367" i="29"/>
  <c r="AB348" i="29"/>
  <c r="AB362" i="29"/>
  <c r="AB334" i="29"/>
  <c r="AB273" i="29"/>
  <c r="AB449" i="29" s="1"/>
  <c r="AB491" i="29"/>
  <c r="AA274" i="29"/>
  <c r="AA450" i="29" s="1"/>
  <c r="AA279" i="29"/>
  <c r="AA455" i="29" s="1"/>
  <c r="AA284" i="29"/>
  <c r="AC32" i="29"/>
  <c r="AA258" i="29"/>
  <c r="AA244" i="29"/>
  <c r="AA230" i="29"/>
  <c r="Z237" i="29"/>
  <c r="Z233" i="29"/>
  <c r="Z234" i="29"/>
  <c r="Z235" i="29"/>
  <c r="Z236" i="29"/>
  <c r="Z242" i="29"/>
  <c r="Z238" i="29"/>
  <c r="Z240" i="29"/>
  <c r="Z241" i="29"/>
  <c r="Z239" i="29"/>
  <c r="Z251" i="29"/>
  <c r="Z255" i="29"/>
  <c r="Z249" i="29"/>
  <c r="Z247" i="29"/>
  <c r="Z250" i="29"/>
  <c r="Z253" i="29"/>
  <c r="Z256" i="29"/>
  <c r="Z254" i="29"/>
  <c r="Z248" i="29"/>
  <c r="Z252" i="29"/>
  <c r="Z267" i="29"/>
  <c r="Z269" i="29"/>
  <c r="Z270" i="29"/>
  <c r="Z261" i="29"/>
  <c r="Z264" i="29"/>
  <c r="Z265" i="29"/>
  <c r="Z262" i="29"/>
  <c r="Z263" i="29"/>
  <c r="Z266" i="29"/>
  <c r="Z268" i="29"/>
  <c r="Y271" i="29"/>
  <c r="Y272" i="29" s="1"/>
  <c r="AC33" i="29"/>
  <c r="AB228" i="29"/>
  <c r="Z260" i="29"/>
  <c r="Z259" i="29"/>
  <c r="Z232" i="29"/>
  <c r="Z231" i="29"/>
  <c r="Z246" i="29"/>
  <c r="Z245" i="29"/>
  <c r="AC37" i="29"/>
  <c r="AC332" i="29" s="1"/>
  <c r="AC35" i="29"/>
  <c r="X461" i="29" l="1"/>
  <c r="X463" i="29" s="1"/>
  <c r="AA276" i="29"/>
  <c r="Z280" i="29"/>
  <c r="Z456" i="29" s="1"/>
  <c r="Z286" i="29"/>
  <c r="Z492" i="29"/>
  <c r="Z275" i="29"/>
  <c r="Z493" i="29"/>
  <c r="Z494" i="29"/>
  <c r="Z453" i="29"/>
  <c r="Y461" i="29"/>
  <c r="Y463" i="29" s="1"/>
  <c r="Y285" i="29"/>
  <c r="AA282" i="29"/>
  <c r="AA458" i="29" s="1"/>
  <c r="AA277" i="29"/>
  <c r="AA453" i="29" s="1"/>
  <c r="AA281" i="29"/>
  <c r="AA457" i="29" s="1"/>
  <c r="AA283" i="29"/>
  <c r="AA459" i="29" s="1"/>
  <c r="AA278" i="29"/>
  <c r="Z462" i="29"/>
  <c r="AB366" i="29"/>
  <c r="AB364" i="29"/>
  <c r="AB363" i="29"/>
  <c r="AB365" i="29"/>
  <c r="AB373" i="29"/>
  <c r="AB374" i="29"/>
  <c r="AB369" i="29"/>
  <c r="AB371" i="29"/>
  <c r="AB370" i="29"/>
  <c r="AB372" i="29"/>
  <c r="AB368" i="29"/>
  <c r="AB367" i="29"/>
  <c r="AB352" i="29"/>
  <c r="AB351" i="29"/>
  <c r="AB349" i="29"/>
  <c r="AB350" i="29"/>
  <c r="AB356" i="29"/>
  <c r="AB357" i="29"/>
  <c r="AB358" i="29"/>
  <c r="AB360" i="29"/>
  <c r="AB359" i="29"/>
  <c r="AB354" i="29"/>
  <c r="AB353" i="29"/>
  <c r="AB355" i="29"/>
  <c r="AB337" i="29"/>
  <c r="AB338" i="29"/>
  <c r="AB336" i="29"/>
  <c r="AB335" i="29"/>
  <c r="AB345" i="29"/>
  <c r="AB346" i="29"/>
  <c r="AB343" i="29"/>
  <c r="AB344" i="29"/>
  <c r="AB342" i="29"/>
  <c r="AB340" i="29"/>
  <c r="AB341" i="29"/>
  <c r="AB339" i="29"/>
  <c r="AA375" i="29"/>
  <c r="AA376" i="29" s="1"/>
  <c r="AC362" i="29"/>
  <c r="AC334" i="29"/>
  <c r="AC348" i="29"/>
  <c r="AA452" i="29"/>
  <c r="AB279" i="29"/>
  <c r="AB455" i="29" s="1"/>
  <c r="AA460" i="29"/>
  <c r="AA495" i="29"/>
  <c r="AB284" i="29"/>
  <c r="AC273" i="29"/>
  <c r="AC449" i="29" s="1"/>
  <c r="AC491" i="29"/>
  <c r="AB274" i="29"/>
  <c r="AB450" i="29" s="1"/>
  <c r="AD32" i="29"/>
  <c r="AB244" i="29"/>
  <c r="AB230" i="29"/>
  <c r="AB258" i="29"/>
  <c r="AA233" i="29"/>
  <c r="AA234" i="29"/>
  <c r="AA235" i="29"/>
  <c r="AA236" i="29"/>
  <c r="AA238" i="29"/>
  <c r="AA237" i="29"/>
  <c r="AA240" i="29"/>
  <c r="AA241" i="29"/>
  <c r="AA242" i="29"/>
  <c r="AA239" i="29"/>
  <c r="AA252" i="29"/>
  <c r="AA256" i="29"/>
  <c r="AA248" i="29"/>
  <c r="AA251" i="29"/>
  <c r="AA250" i="29"/>
  <c r="AA249" i="29"/>
  <c r="AA253" i="29"/>
  <c r="AA255" i="29"/>
  <c r="AA254" i="29"/>
  <c r="AA247" i="29"/>
  <c r="AA263" i="29"/>
  <c r="AA262" i="29"/>
  <c r="AA261" i="29"/>
  <c r="AA269" i="29"/>
  <c r="AA270" i="29"/>
  <c r="AA268" i="29"/>
  <c r="AA266" i="29"/>
  <c r="AA264" i="29"/>
  <c r="AA265" i="29"/>
  <c r="AA267" i="29"/>
  <c r="AA260" i="29"/>
  <c r="AA259" i="29"/>
  <c r="AD33" i="29"/>
  <c r="AC228" i="29"/>
  <c r="Z271" i="29"/>
  <c r="Z272" i="29" s="1"/>
  <c r="AA245" i="29"/>
  <c r="AA246" i="29"/>
  <c r="AA231" i="29"/>
  <c r="AA232" i="29"/>
  <c r="AD37" i="29"/>
  <c r="AD332" i="29" s="1"/>
  <c r="AD35" i="29"/>
  <c r="Z285" i="29" l="1"/>
  <c r="Z451" i="29"/>
  <c r="Z527" i="29" s="1"/>
  <c r="AA494" i="29"/>
  <c r="AA286" i="29"/>
  <c r="AA493" i="29"/>
  <c r="AA492" i="29"/>
  <c r="AA454" i="29"/>
  <c r="AA280" i="29"/>
  <c r="AA456" i="29" s="1"/>
  <c r="AA275" i="29"/>
  <c r="AA451" i="29" s="1"/>
  <c r="AC279" i="29"/>
  <c r="AC455" i="29" s="1"/>
  <c r="AC284" i="29"/>
  <c r="AC495" i="29" s="1"/>
  <c r="AC274" i="29"/>
  <c r="AC450" i="29" s="1"/>
  <c r="AC338" i="29"/>
  <c r="AC337" i="29"/>
  <c r="AC335" i="29"/>
  <c r="AC336" i="29"/>
  <c r="AC345" i="29"/>
  <c r="AC346" i="29"/>
  <c r="AC344" i="29"/>
  <c r="AC343" i="29"/>
  <c r="AC341" i="29"/>
  <c r="AC342" i="29"/>
  <c r="AC340" i="29"/>
  <c r="AC339" i="29"/>
  <c r="AC365" i="29"/>
  <c r="AC366" i="29"/>
  <c r="AC363" i="29"/>
  <c r="AC364" i="29"/>
  <c r="AC373" i="29"/>
  <c r="AC374" i="29"/>
  <c r="AC370" i="29"/>
  <c r="AC371" i="29"/>
  <c r="AC372" i="29"/>
  <c r="AC369" i="29"/>
  <c r="AC368" i="29"/>
  <c r="AC367" i="29"/>
  <c r="AB375" i="29"/>
  <c r="AB376" i="29" s="1"/>
  <c r="AC349" i="29"/>
  <c r="AC351" i="29"/>
  <c r="AC350" i="29"/>
  <c r="AC352" i="29"/>
  <c r="AC356" i="29"/>
  <c r="AC360" i="29"/>
  <c r="AC357" i="29"/>
  <c r="AC359" i="29"/>
  <c r="AC358" i="29"/>
  <c r="AC353" i="29"/>
  <c r="AC355" i="29"/>
  <c r="AC354" i="29"/>
  <c r="AD348" i="29"/>
  <c r="AD334" i="29"/>
  <c r="AD362" i="29"/>
  <c r="AB278" i="29"/>
  <c r="AB454" i="29" s="1"/>
  <c r="AB276" i="29"/>
  <c r="AB452" i="29" s="1"/>
  <c r="AB277" i="29"/>
  <c r="AB453" i="29" s="1"/>
  <c r="AB281" i="29"/>
  <c r="AB282" i="29"/>
  <c r="AB458" i="29" s="1"/>
  <c r="AD273" i="29"/>
  <c r="AD449" i="29" s="1"/>
  <c r="AD491" i="29"/>
  <c r="AA462" i="29"/>
  <c r="AB460" i="29"/>
  <c r="AB495" i="29"/>
  <c r="AB283" i="29"/>
  <c r="AB459" i="29" s="1"/>
  <c r="AE32" i="29"/>
  <c r="AC244" i="29"/>
  <c r="AC230" i="29"/>
  <c r="AC258" i="29"/>
  <c r="AB264" i="29"/>
  <c r="AB262" i="29"/>
  <c r="AB263" i="29"/>
  <c r="AB270" i="29"/>
  <c r="AB268" i="29"/>
  <c r="AB269" i="29"/>
  <c r="AB267" i="29"/>
  <c r="AB265" i="29"/>
  <c r="AB261" i="29"/>
  <c r="AB266" i="29"/>
  <c r="AB242" i="29"/>
  <c r="AB233" i="29"/>
  <c r="AB235" i="29"/>
  <c r="AB236" i="29"/>
  <c r="AB239" i="29"/>
  <c r="AB238" i="29"/>
  <c r="AB241" i="29"/>
  <c r="AB237" i="29"/>
  <c r="AB240" i="29"/>
  <c r="AB234" i="29"/>
  <c r="AB253" i="29"/>
  <c r="AB252" i="29"/>
  <c r="AB249" i="29"/>
  <c r="AB251" i="29"/>
  <c r="AB255" i="29"/>
  <c r="AB256" i="29"/>
  <c r="AB247" i="29"/>
  <c r="AB250" i="29"/>
  <c r="AB254" i="29"/>
  <c r="AB248" i="29"/>
  <c r="AE33" i="29"/>
  <c r="AD228" i="29"/>
  <c r="AA271" i="29"/>
  <c r="AA272" i="29" s="1"/>
  <c r="AB245" i="29"/>
  <c r="AB246" i="29"/>
  <c r="AB231" i="29"/>
  <c r="AB232" i="29"/>
  <c r="AB260" i="29"/>
  <c r="AB259" i="29"/>
  <c r="AE37" i="29"/>
  <c r="AE332" i="29" s="1"/>
  <c r="AE35" i="29"/>
  <c r="AA527" i="29" l="1"/>
  <c r="Z461" i="29"/>
  <c r="Z463" i="29" s="1"/>
  <c r="AA285" i="29"/>
  <c r="AC281" i="29"/>
  <c r="AC457" i="29" s="1"/>
  <c r="AD274" i="29"/>
  <c r="AD450" i="29" s="1"/>
  <c r="AC276" i="29"/>
  <c r="AC452" i="29" s="1"/>
  <c r="AC283" i="29"/>
  <c r="AC459" i="29" s="1"/>
  <c r="AC282" i="29"/>
  <c r="AC458" i="29" s="1"/>
  <c r="AC278" i="29"/>
  <c r="AC454" i="29" s="1"/>
  <c r="AC277" i="29"/>
  <c r="AC453" i="29" s="1"/>
  <c r="AC460" i="29"/>
  <c r="AB492" i="29"/>
  <c r="AD279" i="29"/>
  <c r="AD455" i="29" s="1"/>
  <c r="AB286" i="29"/>
  <c r="AD366" i="29"/>
  <c r="AD365" i="29"/>
  <c r="AD363" i="29"/>
  <c r="AD364" i="29"/>
  <c r="AD374" i="29"/>
  <c r="AD373" i="29"/>
  <c r="AD370" i="29"/>
  <c r="AD371" i="29"/>
  <c r="AD369" i="29"/>
  <c r="AD368" i="29"/>
  <c r="AD372" i="29"/>
  <c r="AD367" i="29"/>
  <c r="AD336" i="29"/>
  <c r="AD335" i="29"/>
  <c r="AD338" i="29"/>
  <c r="AD337" i="29"/>
  <c r="AD345" i="29"/>
  <c r="AD346" i="29"/>
  <c r="AD343" i="29"/>
  <c r="AD344" i="29"/>
  <c r="AD340" i="29"/>
  <c r="AD342" i="29"/>
  <c r="AD341" i="29"/>
  <c r="AD339" i="29"/>
  <c r="AD351" i="29"/>
  <c r="AD352" i="29"/>
  <c r="AD349" i="29"/>
  <c r="AD350" i="29"/>
  <c r="AD356" i="29"/>
  <c r="AD357" i="29"/>
  <c r="AD360" i="29"/>
  <c r="AD359" i="29"/>
  <c r="AD358" i="29"/>
  <c r="AD354" i="29"/>
  <c r="AD353" i="29"/>
  <c r="AD355" i="29"/>
  <c r="AE348" i="29"/>
  <c r="AE362" i="29"/>
  <c r="AE334" i="29"/>
  <c r="AC375" i="29"/>
  <c r="AC376" i="29" s="1"/>
  <c r="AB275" i="29"/>
  <c r="AB451" i="29" s="1"/>
  <c r="AB457" i="29"/>
  <c r="AB462" i="29" s="1"/>
  <c r="AB494" i="29"/>
  <c r="AE273" i="29"/>
  <c r="AE449" i="29" s="1"/>
  <c r="AE491" i="29"/>
  <c r="AD284" i="29"/>
  <c r="AB280" i="29"/>
  <c r="AB456" i="29" s="1"/>
  <c r="AB493" i="29"/>
  <c r="AA461" i="29"/>
  <c r="AA463" i="29" s="1"/>
  <c r="AF32" i="29"/>
  <c r="AD244" i="29"/>
  <c r="AD230" i="29"/>
  <c r="AD258" i="29"/>
  <c r="AC265" i="29"/>
  <c r="AC264" i="29"/>
  <c r="AC261" i="29"/>
  <c r="AC263" i="29"/>
  <c r="AC270" i="29"/>
  <c r="AC268" i="29"/>
  <c r="AC266" i="29"/>
  <c r="AC262" i="29"/>
  <c r="AC269" i="29"/>
  <c r="AC267" i="29"/>
  <c r="AC240" i="29"/>
  <c r="AC238" i="29"/>
  <c r="AC239" i="29"/>
  <c r="AC237" i="29"/>
  <c r="AC235" i="29"/>
  <c r="AC234" i="29"/>
  <c r="AC241" i="29"/>
  <c r="AC233" i="29"/>
  <c r="AC236" i="29"/>
  <c r="AC242" i="29"/>
  <c r="AC254" i="29"/>
  <c r="AC252" i="29"/>
  <c r="AC250" i="29"/>
  <c r="AC253" i="29"/>
  <c r="AC248" i="29"/>
  <c r="AC251" i="29"/>
  <c r="AC255" i="29"/>
  <c r="AC247" i="29"/>
  <c r="AC256" i="29"/>
  <c r="AC249" i="29"/>
  <c r="AB271" i="29"/>
  <c r="AB272" i="29" s="1"/>
  <c r="AF33" i="29"/>
  <c r="AE228" i="29"/>
  <c r="AC245" i="29"/>
  <c r="AC246" i="29"/>
  <c r="AC259" i="29"/>
  <c r="AC260" i="29"/>
  <c r="AC231" i="29"/>
  <c r="AC232" i="29"/>
  <c r="AF37" i="29"/>
  <c r="AF332" i="29" s="1"/>
  <c r="AF35" i="29"/>
  <c r="AC286" i="29" l="1"/>
  <c r="AD278" i="29"/>
  <c r="AD276" i="29"/>
  <c r="AD452" i="29" s="1"/>
  <c r="AD277" i="29"/>
  <c r="AC492" i="29"/>
  <c r="AC280" i="29"/>
  <c r="AC456" i="29" s="1"/>
  <c r="AC494" i="29"/>
  <c r="AC275" i="29"/>
  <c r="AC451" i="29" s="1"/>
  <c r="AC527" i="29" s="1"/>
  <c r="AC493" i="29"/>
  <c r="AD282" i="29"/>
  <c r="AD458" i="29" s="1"/>
  <c r="AD281" i="29"/>
  <c r="AD492" i="29" s="1"/>
  <c r="AD283" i="29"/>
  <c r="AD459" i="29" s="1"/>
  <c r="AD375" i="29"/>
  <c r="AD376" i="29" s="1"/>
  <c r="AE279" i="29"/>
  <c r="AE455" i="29" s="1"/>
  <c r="AE284" i="29"/>
  <c r="AE495" i="29" s="1"/>
  <c r="AB461" i="29"/>
  <c r="AB463" i="29" s="1"/>
  <c r="AE337" i="29"/>
  <c r="AE338" i="29"/>
  <c r="AE336" i="29"/>
  <c r="AE335" i="29"/>
  <c r="AE345" i="29"/>
  <c r="AE346" i="29"/>
  <c r="AE344" i="29"/>
  <c r="AE343" i="29"/>
  <c r="AE340" i="29"/>
  <c r="AE342" i="29"/>
  <c r="AE341" i="29"/>
  <c r="AE339" i="29"/>
  <c r="AE366" i="29"/>
  <c r="AE365" i="29"/>
  <c r="AE364" i="29"/>
  <c r="AE363" i="29"/>
  <c r="AE373" i="29"/>
  <c r="AE374" i="29"/>
  <c r="AE372" i="29"/>
  <c r="AE370" i="29"/>
  <c r="AE368" i="29"/>
  <c r="AE371" i="29"/>
  <c r="AE369" i="29"/>
  <c r="AE367" i="29"/>
  <c r="AF348" i="29"/>
  <c r="AF362" i="29"/>
  <c r="AF334" i="29"/>
  <c r="AE352" i="29"/>
  <c r="AE351" i="29"/>
  <c r="AE350" i="29"/>
  <c r="AE349" i="29"/>
  <c r="AE356" i="29"/>
  <c r="AE358" i="29"/>
  <c r="AE360" i="29"/>
  <c r="AE357" i="29"/>
  <c r="AE359" i="29"/>
  <c r="AE353" i="29"/>
  <c r="AE355" i="29"/>
  <c r="AE354" i="29"/>
  <c r="AD454" i="29"/>
  <c r="AB285" i="29"/>
  <c r="AF273" i="29"/>
  <c r="AF449" i="29" s="1"/>
  <c r="AF491" i="29"/>
  <c r="AC462" i="29"/>
  <c r="AD460" i="29"/>
  <c r="AD495" i="29"/>
  <c r="AB527" i="29"/>
  <c r="AE274" i="29"/>
  <c r="AE450" i="29" s="1"/>
  <c r="AG32" i="29"/>
  <c r="AE230" i="29"/>
  <c r="AE258" i="29"/>
  <c r="AE244" i="29"/>
  <c r="AD266" i="29"/>
  <c r="AD265" i="29"/>
  <c r="AD264" i="29"/>
  <c r="AD262" i="29"/>
  <c r="AD270" i="29"/>
  <c r="AD269" i="29"/>
  <c r="AD267" i="29"/>
  <c r="AD263" i="29"/>
  <c r="AD261" i="29"/>
  <c r="AD268" i="29"/>
  <c r="AD234" i="29"/>
  <c r="AD233" i="29"/>
  <c r="AD240" i="29"/>
  <c r="AD238" i="29"/>
  <c r="AD242" i="29"/>
  <c r="AD237" i="29"/>
  <c r="AD236" i="29"/>
  <c r="AD235" i="29"/>
  <c r="AD241" i="29"/>
  <c r="AD239" i="29"/>
  <c r="AD254" i="29"/>
  <c r="AD251" i="29"/>
  <c r="AD253" i="29"/>
  <c r="AD252" i="29"/>
  <c r="AD255" i="29"/>
  <c r="AD248" i="29"/>
  <c r="AD249" i="29"/>
  <c r="AD247" i="29"/>
  <c r="AD256" i="29"/>
  <c r="AD250" i="29"/>
  <c r="AC271" i="29"/>
  <c r="AC272" i="29" s="1"/>
  <c r="AD232" i="29"/>
  <c r="AD231" i="29"/>
  <c r="AD259" i="29"/>
  <c r="AD260" i="29"/>
  <c r="AD245" i="29"/>
  <c r="AD246" i="29"/>
  <c r="AG33" i="29"/>
  <c r="AF228" i="29"/>
  <c r="AG37" i="29"/>
  <c r="AG332" i="29" s="1"/>
  <c r="AG35" i="29"/>
  <c r="AD286" i="29" l="1"/>
  <c r="AD275" i="29"/>
  <c r="AD451" i="29" s="1"/>
  <c r="AD453" i="29"/>
  <c r="AD457" i="29"/>
  <c r="AD462" i="29" s="1"/>
  <c r="AD493" i="29"/>
  <c r="AC285" i="29"/>
  <c r="AF284" i="29"/>
  <c r="AF460" i="29" s="1"/>
  <c r="AE283" i="29"/>
  <c r="AE459" i="29" s="1"/>
  <c r="AE281" i="29"/>
  <c r="AE457" i="29" s="1"/>
  <c r="AE282" i="29"/>
  <c r="AE458" i="29" s="1"/>
  <c r="AD280" i="29"/>
  <c r="AD456" i="29" s="1"/>
  <c r="AE460" i="29"/>
  <c r="AF279" i="29"/>
  <c r="AF455" i="29" s="1"/>
  <c r="AD494" i="29"/>
  <c r="AG362" i="29"/>
  <c r="AG334" i="29"/>
  <c r="AG348" i="29"/>
  <c r="AE375" i="29"/>
  <c r="AE376" i="29" s="1"/>
  <c r="AF337" i="29"/>
  <c r="AF335" i="29"/>
  <c r="AF338" i="29"/>
  <c r="AF336" i="29"/>
  <c r="AF345" i="29"/>
  <c r="AF343" i="29"/>
  <c r="AF346" i="29"/>
  <c r="AF344" i="29"/>
  <c r="AF341" i="29"/>
  <c r="AF340" i="29"/>
  <c r="AF342" i="29"/>
  <c r="AF339" i="29"/>
  <c r="AF365" i="29"/>
  <c r="AF366" i="29"/>
  <c r="AF363" i="29"/>
  <c r="AF364" i="29"/>
  <c r="AF374" i="29"/>
  <c r="AF373" i="29"/>
  <c r="AF372" i="29"/>
  <c r="AF370" i="29"/>
  <c r="AF369" i="29"/>
  <c r="AF371" i="29"/>
  <c r="AF368" i="29"/>
  <c r="AF367" i="29"/>
  <c r="AF351" i="29"/>
  <c r="AF352" i="29"/>
  <c r="AF350" i="29"/>
  <c r="AF349" i="29"/>
  <c r="AF356" i="29"/>
  <c r="AF358" i="29"/>
  <c r="AF357" i="29"/>
  <c r="AF360" i="29"/>
  <c r="AF359" i="29"/>
  <c r="AF354" i="29"/>
  <c r="AF355" i="29"/>
  <c r="AF353" i="29"/>
  <c r="AF495" i="29"/>
  <c r="AG273" i="29"/>
  <c r="AG449" i="29" s="1"/>
  <c r="AG491" i="29"/>
  <c r="AE278" i="29"/>
  <c r="AE277" i="29"/>
  <c r="AF274" i="29"/>
  <c r="AF450" i="29" s="1"/>
  <c r="AE276" i="29"/>
  <c r="AC461" i="29"/>
  <c r="AC463" i="29" s="1"/>
  <c r="AH32" i="29"/>
  <c r="AF258" i="29"/>
  <c r="AF244" i="29"/>
  <c r="AF230" i="29"/>
  <c r="AE254" i="29"/>
  <c r="AE255" i="29"/>
  <c r="AE247" i="29"/>
  <c r="AE256" i="29"/>
  <c r="AE248" i="29"/>
  <c r="AE249" i="29"/>
  <c r="AE253" i="29"/>
  <c r="AE252" i="29"/>
  <c r="AE250" i="29"/>
  <c r="AE251" i="29"/>
  <c r="AE267" i="29"/>
  <c r="AE266" i="29"/>
  <c r="AE263" i="29"/>
  <c r="AE265" i="29"/>
  <c r="AE261" i="29"/>
  <c r="AE270" i="29"/>
  <c r="AE268" i="29"/>
  <c r="AE264" i="29"/>
  <c r="AE262" i="29"/>
  <c r="AE269" i="29"/>
  <c r="AE242" i="29"/>
  <c r="AE234" i="29"/>
  <c r="AE238" i="29"/>
  <c r="AE233" i="29"/>
  <c r="AE240" i="29"/>
  <c r="AE237" i="29"/>
  <c r="AE236" i="29"/>
  <c r="AE239" i="29"/>
  <c r="AE241" i="29"/>
  <c r="AE235" i="29"/>
  <c r="AE232" i="29"/>
  <c r="AE231" i="29"/>
  <c r="AE245" i="29"/>
  <c r="AE246" i="29"/>
  <c r="AE259" i="29"/>
  <c r="AE260" i="29"/>
  <c r="AD271" i="29"/>
  <c r="AD272" i="29" s="1"/>
  <c r="AH33" i="29"/>
  <c r="AH228" i="29" s="1"/>
  <c r="AG228" i="29"/>
  <c r="AH37" i="29"/>
  <c r="AH332" i="29" s="1"/>
  <c r="AH35" i="29"/>
  <c r="AD527" i="29" l="1"/>
  <c r="AD285" i="29"/>
  <c r="AE493" i="29"/>
  <c r="AE280" i="29"/>
  <c r="AE456" i="29" s="1"/>
  <c r="AF282" i="29"/>
  <c r="AF458" i="29" s="1"/>
  <c r="AE286" i="29"/>
  <c r="AF281" i="29"/>
  <c r="AF283" i="29"/>
  <c r="AF459" i="29" s="1"/>
  <c r="AG284" i="29"/>
  <c r="AG495" i="29" s="1"/>
  <c r="AG274" i="29"/>
  <c r="AG450" i="29" s="1"/>
  <c r="AF375" i="29"/>
  <c r="AF376" i="29" s="1"/>
  <c r="AG336" i="29"/>
  <c r="AG335" i="29"/>
  <c r="AG337" i="29"/>
  <c r="AG338" i="29"/>
  <c r="AG345" i="29"/>
  <c r="AG343" i="29"/>
  <c r="AG344" i="29"/>
  <c r="AG346" i="29"/>
  <c r="AG341" i="29"/>
  <c r="AG340" i="29"/>
  <c r="AG342" i="29"/>
  <c r="AG339" i="29"/>
  <c r="AH362" i="29"/>
  <c r="AH348" i="29"/>
  <c r="AH334" i="29"/>
  <c r="AE453" i="29"/>
  <c r="AG365" i="29"/>
  <c r="AG366" i="29"/>
  <c r="AG363" i="29"/>
  <c r="AG364" i="29"/>
  <c r="AG373" i="29"/>
  <c r="AG374" i="29"/>
  <c r="AG368" i="29"/>
  <c r="AG369" i="29"/>
  <c r="AG371" i="29"/>
  <c r="AG370" i="29"/>
  <c r="AG372" i="29"/>
  <c r="AG367" i="29"/>
  <c r="AG352" i="29"/>
  <c r="AG351" i="29"/>
  <c r="AG349" i="29"/>
  <c r="AG350" i="29"/>
  <c r="AG356" i="29"/>
  <c r="AG358" i="29"/>
  <c r="AG357" i="29"/>
  <c r="AG359" i="29"/>
  <c r="AG360" i="29"/>
  <c r="AG354" i="29"/>
  <c r="AG353" i="29"/>
  <c r="AG355" i="29"/>
  <c r="AE275" i="29"/>
  <c r="AE451" i="29" s="1"/>
  <c r="AH273" i="29"/>
  <c r="AH449" i="29" s="1"/>
  <c r="AH491" i="29"/>
  <c r="AK491" i="29" s="1"/>
  <c r="AF276" i="29"/>
  <c r="AF278" i="29"/>
  <c r="AE454" i="29"/>
  <c r="AE494" i="29"/>
  <c r="AF277" i="29"/>
  <c r="AG279" i="29"/>
  <c r="AG455" i="29" s="1"/>
  <c r="AE452" i="29"/>
  <c r="AE462" i="29" s="1"/>
  <c r="AE492" i="29"/>
  <c r="AD461" i="29"/>
  <c r="AD463" i="29" s="1"/>
  <c r="AG258" i="29"/>
  <c r="AG244" i="29"/>
  <c r="AG230" i="29"/>
  <c r="AF241" i="29"/>
  <c r="AF235" i="29"/>
  <c r="AF239" i="29"/>
  <c r="AF234" i="29"/>
  <c r="AF233" i="29"/>
  <c r="AF240" i="29"/>
  <c r="AF242" i="29"/>
  <c r="AF238" i="29"/>
  <c r="AF237" i="29"/>
  <c r="AF236" i="29"/>
  <c r="AH258" i="29"/>
  <c r="AH244" i="29"/>
  <c r="AH230" i="29"/>
  <c r="AF249" i="29"/>
  <c r="AF256" i="29"/>
  <c r="AF255" i="29"/>
  <c r="AF248" i="29"/>
  <c r="AF247" i="29"/>
  <c r="AF253" i="29"/>
  <c r="AF251" i="29"/>
  <c r="AF254" i="29"/>
  <c r="AF252" i="29"/>
  <c r="AF250" i="29"/>
  <c r="AF268" i="29"/>
  <c r="AF267" i="29"/>
  <c r="AF266" i="29"/>
  <c r="AF264" i="29"/>
  <c r="AF269" i="29"/>
  <c r="AF265" i="29"/>
  <c r="AF263" i="29"/>
  <c r="AF261" i="29"/>
  <c r="AF262" i="29"/>
  <c r="AF270" i="29"/>
  <c r="AE271" i="29"/>
  <c r="AE272" i="29" s="1"/>
  <c r="AF260" i="29"/>
  <c r="AF259" i="29"/>
  <c r="AF231" i="29"/>
  <c r="AF232" i="29"/>
  <c r="AF246" i="29"/>
  <c r="AF245" i="29"/>
  <c r="AK37" i="29"/>
  <c r="AK35" i="29"/>
  <c r="AH279" i="29" l="1"/>
  <c r="AH455" i="29" s="1"/>
  <c r="AF286" i="29"/>
  <c r="AF457" i="29"/>
  <c r="AF280" i="29"/>
  <c r="AF456" i="29" s="1"/>
  <c r="AF275" i="29"/>
  <c r="AF451" i="29" s="1"/>
  <c r="AE285" i="29"/>
  <c r="AE527" i="29"/>
  <c r="AG460" i="29"/>
  <c r="AG278" i="29"/>
  <c r="AG454" i="29" s="1"/>
  <c r="AG277" i="29"/>
  <c r="AG453" i="29" s="1"/>
  <c r="AG276" i="29"/>
  <c r="AG452" i="29" s="1"/>
  <c r="AH335" i="29"/>
  <c r="AH336" i="29"/>
  <c r="AH337" i="29"/>
  <c r="AH338" i="29"/>
  <c r="AH345" i="29"/>
  <c r="AH346" i="29"/>
  <c r="AH344" i="29"/>
  <c r="AH343" i="29"/>
  <c r="AH340" i="29"/>
  <c r="AH342" i="29"/>
  <c r="AH341" i="29"/>
  <c r="AH339" i="29"/>
  <c r="AH351" i="29"/>
  <c r="AH352" i="29"/>
  <c r="AH349" i="29"/>
  <c r="AH350" i="29"/>
  <c r="AH356" i="29"/>
  <c r="AH359" i="29"/>
  <c r="AH358" i="29"/>
  <c r="AH357" i="29"/>
  <c r="AH360" i="29"/>
  <c r="AH354" i="29"/>
  <c r="AH355" i="29"/>
  <c r="AH353" i="29"/>
  <c r="AG375" i="29"/>
  <c r="AG376" i="29" s="1"/>
  <c r="AH366" i="29"/>
  <c r="AH365" i="29"/>
  <c r="AH363" i="29"/>
  <c r="AH364" i="29"/>
  <c r="AH373" i="29"/>
  <c r="AH374" i="29"/>
  <c r="AH370" i="29"/>
  <c r="AH371" i="29"/>
  <c r="AH368" i="29"/>
  <c r="AH369" i="29"/>
  <c r="AH372" i="29"/>
  <c r="AH367" i="29"/>
  <c r="AG281" i="29"/>
  <c r="AG283" i="29"/>
  <c r="AG459" i="29" s="1"/>
  <c r="AG282" i="29"/>
  <c r="AG458" i="29" s="1"/>
  <c r="AF452" i="29"/>
  <c r="AF492" i="29"/>
  <c r="AF453" i="29"/>
  <c r="AF493" i="29"/>
  <c r="AF454" i="29"/>
  <c r="AF494" i="29"/>
  <c r="AE461" i="29"/>
  <c r="AE463" i="29" s="1"/>
  <c r="AH284" i="29"/>
  <c r="AH274" i="29"/>
  <c r="AH450" i="29" s="1"/>
  <c r="AH236" i="29"/>
  <c r="AH237" i="29"/>
  <c r="AH233" i="29"/>
  <c r="AH234" i="29"/>
  <c r="AH235" i="29"/>
  <c r="AH241" i="29"/>
  <c r="AH242" i="29"/>
  <c r="AH240" i="29"/>
  <c r="AH239" i="29"/>
  <c r="AH238" i="29"/>
  <c r="AG239" i="29"/>
  <c r="AG236" i="29"/>
  <c r="AG235" i="29"/>
  <c r="AG233" i="29"/>
  <c r="AG238" i="29"/>
  <c r="AG242" i="29"/>
  <c r="AG234" i="29"/>
  <c r="AG240" i="29"/>
  <c r="AG241" i="29"/>
  <c r="AG237" i="29"/>
  <c r="AG248" i="29"/>
  <c r="AG249" i="29"/>
  <c r="AG251" i="29"/>
  <c r="AG252" i="29"/>
  <c r="AG250" i="29"/>
  <c r="AG253" i="29"/>
  <c r="AG256" i="29"/>
  <c r="AG247" i="29"/>
  <c r="AG254" i="29"/>
  <c r="AG255" i="29"/>
  <c r="AH251" i="29"/>
  <c r="AH247" i="29"/>
  <c r="AH250" i="29"/>
  <c r="AH255" i="29"/>
  <c r="AH249" i="29"/>
  <c r="AH253" i="29"/>
  <c r="AH256" i="29"/>
  <c r="AH248" i="29"/>
  <c r="AH254" i="29"/>
  <c r="AH252" i="29"/>
  <c r="AH268" i="29"/>
  <c r="AH262" i="29"/>
  <c r="AH263" i="29"/>
  <c r="AH264" i="29"/>
  <c r="AH267" i="29"/>
  <c r="AH269" i="29"/>
  <c r="AH266" i="29"/>
  <c r="AH270" i="29"/>
  <c r="AH265" i="29"/>
  <c r="AH261" i="29"/>
  <c r="AG267" i="29"/>
  <c r="AG261" i="29"/>
  <c r="AG270" i="29"/>
  <c r="AG262" i="29"/>
  <c r="AG265" i="29"/>
  <c r="AG266" i="29"/>
  <c r="AG264" i="29"/>
  <c r="AG268" i="29"/>
  <c r="AG269" i="29"/>
  <c r="AG263" i="29"/>
  <c r="AH232" i="29"/>
  <c r="AH231" i="29"/>
  <c r="AG232" i="29"/>
  <c r="AG231" i="29"/>
  <c r="AG246" i="29"/>
  <c r="AG245" i="29"/>
  <c r="AG259" i="29"/>
  <c r="AG260" i="29"/>
  <c r="AF271" i="29"/>
  <c r="AF272" i="29" s="1"/>
  <c r="AH260" i="29"/>
  <c r="AH259" i="29"/>
  <c r="AH246" i="29"/>
  <c r="AH245" i="29"/>
  <c r="AF462" i="29" l="1"/>
  <c r="AF285" i="29"/>
  <c r="AF527" i="29"/>
  <c r="AH282" i="29"/>
  <c r="AH458" i="29" s="1"/>
  <c r="AH281" i="29"/>
  <c r="AH283" i="29"/>
  <c r="AH459" i="29" s="1"/>
  <c r="AG286" i="29"/>
  <c r="AF461" i="29"/>
  <c r="AG275" i="29"/>
  <c r="AG451" i="29" s="1"/>
  <c r="AG493" i="29"/>
  <c r="AG492" i="29"/>
  <c r="AG457" i="29"/>
  <c r="AG462" i="29" s="1"/>
  <c r="AH375" i="29"/>
  <c r="AH376" i="29" s="1"/>
  <c r="AG494" i="29"/>
  <c r="AG280" i="29"/>
  <c r="AG456" i="29" s="1"/>
  <c r="AH278" i="29"/>
  <c r="AH460" i="29"/>
  <c r="AH495" i="29"/>
  <c r="AK495" i="29" s="1"/>
  <c r="AH276" i="29"/>
  <c r="AH277" i="29"/>
  <c r="AH457" i="29"/>
  <c r="AH271" i="29"/>
  <c r="AH272" i="29" s="1"/>
  <c r="AG271" i="29"/>
  <c r="AG272" i="29" s="1"/>
  <c r="AK352" i="29"/>
  <c r="AK351" i="29"/>
  <c r="AK365" i="29"/>
  <c r="AK366" i="29"/>
  <c r="AK337" i="29"/>
  <c r="AK338" i="29"/>
  <c r="AF463" i="29" l="1"/>
  <c r="AH280" i="29"/>
  <c r="AH456" i="29" s="1"/>
  <c r="AG527" i="29"/>
  <c r="AG285" i="29"/>
  <c r="AH275" i="29"/>
  <c r="AH451" i="29" s="1"/>
  <c r="AH452" i="29"/>
  <c r="AH462" i="29" s="1"/>
  <c r="AH492" i="29"/>
  <c r="AK492" i="29" s="1"/>
  <c r="AH454" i="29"/>
  <c r="AH494" i="29"/>
  <c r="AK494" i="29" s="1"/>
  <c r="AH453" i="29"/>
  <c r="AH493" i="29"/>
  <c r="AK493" i="29" s="1"/>
  <c r="AH286" i="29"/>
  <c r="AG461" i="29"/>
  <c r="AG463" i="29" s="1"/>
  <c r="AI30" i="29"/>
  <c r="AH285" i="29" l="1"/>
  <c r="AH527" i="29"/>
  <c r="AK527" i="29" s="1"/>
  <c r="AH461" i="29"/>
  <c r="AH463" i="29" s="1"/>
  <c r="E228" i="29"/>
  <c r="AI29" i="29"/>
  <c r="D28" i="29"/>
  <c r="D518" i="29"/>
  <c r="D396" i="29" l="1"/>
  <c r="D512" i="29" s="1"/>
  <c r="D489" i="29"/>
  <c r="E244" i="29"/>
  <c r="E230" i="29"/>
  <c r="E258" i="29"/>
  <c r="D27" i="29"/>
  <c r="AI28" i="29"/>
  <c r="AI396" i="29" s="1"/>
  <c r="B32" i="29"/>
  <c r="A183" i="29" s="1"/>
  <c r="B31" i="29"/>
  <c r="A138" i="29" s="1"/>
  <c r="B29" i="29"/>
  <c r="A92" i="29" s="1"/>
  <c r="B28" i="29"/>
  <c r="A47" i="29" s="1"/>
  <c r="AK512" i="29" l="1"/>
  <c r="AJ512" i="29"/>
  <c r="AI512" i="29"/>
  <c r="AK489" i="29"/>
  <c r="D488" i="29"/>
  <c r="D501" i="29" s="1"/>
  <c r="AJ489" i="29"/>
  <c r="AI489" i="29"/>
  <c r="D429" i="29"/>
  <c r="D428" i="29"/>
  <c r="D446" i="29"/>
  <c r="D447" i="29"/>
  <c r="E265" i="29"/>
  <c r="E261" i="29"/>
  <c r="E264" i="29"/>
  <c r="E263" i="29"/>
  <c r="E269" i="29"/>
  <c r="E270" i="29"/>
  <c r="E268" i="29"/>
  <c r="E266" i="29"/>
  <c r="E262" i="29"/>
  <c r="E267" i="29"/>
  <c r="E240" i="29"/>
  <c r="E237" i="29"/>
  <c r="E236" i="29"/>
  <c r="E233" i="29"/>
  <c r="E242" i="29"/>
  <c r="E235" i="29"/>
  <c r="E238" i="29"/>
  <c r="E241" i="29"/>
  <c r="E239" i="29"/>
  <c r="E234" i="29"/>
  <c r="E254" i="29"/>
  <c r="E252" i="29"/>
  <c r="E250" i="29"/>
  <c r="E253" i="29"/>
  <c r="E249" i="29"/>
  <c r="E256" i="29"/>
  <c r="E248" i="29"/>
  <c r="E255" i="29"/>
  <c r="E247" i="29"/>
  <c r="E251" i="29"/>
  <c r="E260" i="29"/>
  <c r="E259" i="29"/>
  <c r="E232" i="29"/>
  <c r="E231" i="29"/>
  <c r="E246" i="29"/>
  <c r="E245" i="29"/>
  <c r="D549" i="29"/>
  <c r="D563" i="29" s="1"/>
  <c r="AI27" i="29"/>
  <c r="D507" i="29" l="1"/>
  <c r="D528" i="29" s="1"/>
  <c r="D448" i="29"/>
  <c r="D430" i="29"/>
  <c r="E271" i="29"/>
  <c r="E272" i="29" s="1"/>
  <c r="A57" i="29" l="1"/>
  <c r="A49" i="29"/>
  <c r="A56" i="29"/>
  <c r="A54" i="29"/>
  <c r="A55" i="29"/>
  <c r="AH231" i="14" l="1"/>
  <c r="D157" i="14"/>
  <c r="E149" i="14"/>
  <c r="E150" i="14" s="1"/>
  <c r="C151" i="14" s="1"/>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AA148" i="14" s="1"/>
  <c r="D138" i="14"/>
  <c r="AH124" i="14"/>
  <c r="E88" i="14"/>
  <c r="AG220" i="14"/>
  <c r="AC220" i="14"/>
  <c r="Y220" i="14"/>
  <c r="U220" i="14"/>
  <c r="Q220" i="14"/>
  <c r="M220" i="14"/>
  <c r="I220" i="14"/>
  <c r="X227" i="14"/>
  <c r="Q226" i="14"/>
  <c r="R225" i="14"/>
  <c r="Q246" i="14" s="1"/>
  <c r="B225" i="14"/>
  <c r="AC224" i="14"/>
  <c r="AB245" i="14" s="1"/>
  <c r="B224" i="14"/>
  <c r="B223" i="14"/>
  <c r="AC222" i="14"/>
  <c r="B64" i="14"/>
  <c r="AF221" i="14"/>
  <c r="B62" i="14"/>
  <c r="B61" i="14"/>
  <c r="AA218" i="14"/>
  <c r="Z243" i="14" s="1"/>
  <c r="B60" i="14"/>
  <c r="B218" i="14" s="1"/>
  <c r="AE217" i="14"/>
  <c r="AD242" i="14" s="1"/>
  <c r="B59" i="14"/>
  <c r="B217" i="14" s="1"/>
  <c r="E21" i="14"/>
  <c r="E11" i="29" s="1"/>
  <c r="AK38" i="29"/>
  <c r="AK30" i="29"/>
  <c r="AJ30" i="29"/>
  <c r="AK27" i="29"/>
  <c r="AJ27" i="29"/>
  <c r="K95" i="31"/>
  <c r="J95" i="31"/>
  <c r="I95" i="31"/>
  <c r="H95" i="31"/>
  <c r="K94" i="31"/>
  <c r="J94" i="31"/>
  <c r="I94" i="31"/>
  <c r="H94" i="31"/>
  <c r="K93" i="31"/>
  <c r="J93" i="31"/>
  <c r="I93" i="31"/>
  <c r="H93" i="31"/>
  <c r="K91" i="31"/>
  <c r="J91" i="31"/>
  <c r="I91" i="31"/>
  <c r="H91" i="31"/>
  <c r="K90" i="31"/>
  <c r="J90" i="31"/>
  <c r="I90" i="31"/>
  <c r="H90" i="31"/>
  <c r="K89" i="31"/>
  <c r="J89" i="31"/>
  <c r="I89" i="31"/>
  <c r="H89" i="31"/>
  <c r="B242" i="14" l="1"/>
  <c r="B243" i="14"/>
  <c r="B244" i="14"/>
  <c r="B246" i="14"/>
  <c r="B245" i="14"/>
  <c r="I148" i="14"/>
  <c r="V148" i="14"/>
  <c r="H148" i="14"/>
  <c r="X148" i="14"/>
  <c r="N148" i="14"/>
  <c r="Y148" i="14"/>
  <c r="O148" i="14"/>
  <c r="AE148" i="14"/>
  <c r="P148" i="14"/>
  <c r="AF148" i="14"/>
  <c r="R148" i="14"/>
  <c r="AH148" i="14"/>
  <c r="S148" i="14"/>
  <c r="E148" i="14"/>
  <c r="F148" i="14" s="1"/>
  <c r="T148" i="14"/>
  <c r="F149" i="14"/>
  <c r="G149" i="14" s="1"/>
  <c r="H149" i="14" s="1"/>
  <c r="L148" i="14"/>
  <c r="AB148" i="14"/>
  <c r="M148" i="14"/>
  <c r="AC148" i="14"/>
  <c r="L219" i="14"/>
  <c r="AB219" i="14"/>
  <c r="AF219" i="14"/>
  <c r="O219" i="14"/>
  <c r="J219" i="14"/>
  <c r="Z219" i="14"/>
  <c r="G219" i="14"/>
  <c r="AD148" i="14"/>
  <c r="Q148" i="14"/>
  <c r="AG148" i="14"/>
  <c r="U148" i="14"/>
  <c r="G148" i="14"/>
  <c r="W148" i="14"/>
  <c r="J148" i="14"/>
  <c r="Z148" i="14"/>
  <c r="K148" i="14"/>
  <c r="N518" i="29"/>
  <c r="E171" i="14"/>
  <c r="F171" i="14" s="1"/>
  <c r="G171" i="14" s="1"/>
  <c r="H171" i="14" s="1"/>
  <c r="I171" i="14" s="1"/>
  <c r="J171" i="14" s="1"/>
  <c r="K171" i="14" s="1"/>
  <c r="L171" i="14" s="1"/>
  <c r="M171" i="14" s="1"/>
  <c r="N171" i="14" s="1"/>
  <c r="O171" i="14" s="1"/>
  <c r="P171" i="14" s="1"/>
  <c r="Q171" i="14" s="1"/>
  <c r="R171" i="14" s="1"/>
  <c r="S171" i="14" s="1"/>
  <c r="T171" i="14" s="1"/>
  <c r="U171" i="14" s="1"/>
  <c r="V171" i="14" s="1"/>
  <c r="W171" i="14" s="1"/>
  <c r="X171" i="14" s="1"/>
  <c r="Y171" i="14" s="1"/>
  <c r="Z171" i="14" s="1"/>
  <c r="AA171" i="14" s="1"/>
  <c r="AB171" i="14" s="1"/>
  <c r="AC171" i="14" s="1"/>
  <c r="AD171" i="14" s="1"/>
  <c r="AE171" i="14" s="1"/>
  <c r="AF171" i="14" s="1"/>
  <c r="AG171" i="14" s="1"/>
  <c r="AH171" i="14" s="1"/>
  <c r="L222" i="14"/>
  <c r="W224" i="14"/>
  <c r="V245" i="14" s="1"/>
  <c r="AB222" i="14"/>
  <c r="G223" i="14"/>
  <c r="F244" i="14" s="1"/>
  <c r="AE223" i="14"/>
  <c r="AD244" i="14" s="1"/>
  <c r="AB221" i="14"/>
  <c r="H217" i="14"/>
  <c r="G242" i="14" s="1"/>
  <c r="X217" i="14"/>
  <c r="W242" i="14" s="1"/>
  <c r="AF217" i="14"/>
  <c r="AE242" i="14" s="1"/>
  <c r="Q217" i="14"/>
  <c r="P242" i="14" s="1"/>
  <c r="AG217" i="14"/>
  <c r="AF242" i="14" s="1"/>
  <c r="K219" i="14"/>
  <c r="AG222" i="14"/>
  <c r="L217" i="14"/>
  <c r="K242" i="14" s="1"/>
  <c r="T217" i="14"/>
  <c r="S242" i="14" s="1"/>
  <c r="AB217" i="14"/>
  <c r="AA242" i="14" s="1"/>
  <c r="F219" i="14"/>
  <c r="AC219" i="14"/>
  <c r="L221" i="14"/>
  <c r="T222" i="14"/>
  <c r="O223" i="14"/>
  <c r="N244" i="14" s="1"/>
  <c r="G224" i="14"/>
  <c r="F245" i="14" s="1"/>
  <c r="E168" i="14"/>
  <c r="F168" i="14" s="1"/>
  <c r="G168" i="14" s="1"/>
  <c r="H168" i="14" s="1"/>
  <c r="I168" i="14" s="1"/>
  <c r="J168" i="14" s="1"/>
  <c r="K168" i="14" s="1"/>
  <c r="L168" i="14" s="1"/>
  <c r="M168" i="14" s="1"/>
  <c r="N168" i="14" s="1"/>
  <c r="O168" i="14" s="1"/>
  <c r="P168" i="14" s="1"/>
  <c r="Q168" i="14" s="1"/>
  <c r="R168" i="14" s="1"/>
  <c r="S168" i="14" s="1"/>
  <c r="T168" i="14" s="1"/>
  <c r="U168" i="14" s="1"/>
  <c r="V168" i="14" s="1"/>
  <c r="W168" i="14" s="1"/>
  <c r="X168" i="14" s="1"/>
  <c r="Y168" i="14" s="1"/>
  <c r="Z168" i="14" s="1"/>
  <c r="AA168" i="14" s="1"/>
  <c r="AB168" i="14" s="1"/>
  <c r="AC168" i="14" s="1"/>
  <c r="AD168" i="14" s="1"/>
  <c r="AE168" i="14" s="1"/>
  <c r="AF168" i="14" s="1"/>
  <c r="AG168" i="14" s="1"/>
  <c r="AH168" i="14" s="1"/>
  <c r="E183" i="14"/>
  <c r="F183" i="14" s="1"/>
  <c r="G183" i="14" s="1"/>
  <c r="H183" i="14" s="1"/>
  <c r="I183" i="14" s="1"/>
  <c r="J183" i="14" s="1"/>
  <c r="K183" i="14" s="1"/>
  <c r="L183" i="14" s="1"/>
  <c r="M183" i="14" s="1"/>
  <c r="N183" i="14" s="1"/>
  <c r="O183" i="14" s="1"/>
  <c r="P183" i="14" s="1"/>
  <c r="Q183" i="14" s="1"/>
  <c r="R183" i="14" s="1"/>
  <c r="S183" i="14" s="1"/>
  <c r="T183" i="14" s="1"/>
  <c r="U183" i="14" s="1"/>
  <c r="V183" i="14" s="1"/>
  <c r="W183" i="14" s="1"/>
  <c r="X183" i="14" s="1"/>
  <c r="Y183" i="14" s="1"/>
  <c r="Z183" i="14" s="1"/>
  <c r="AA183" i="14" s="1"/>
  <c r="AB183" i="14" s="1"/>
  <c r="AC183" i="14" s="1"/>
  <c r="AD183" i="14" s="1"/>
  <c r="AE183" i="14" s="1"/>
  <c r="AF183" i="14" s="1"/>
  <c r="AG183" i="14" s="1"/>
  <c r="AH183" i="14" s="1"/>
  <c r="P217" i="14"/>
  <c r="O242" i="14" s="1"/>
  <c r="U219" i="14"/>
  <c r="I217" i="14"/>
  <c r="H242" i="14" s="1"/>
  <c r="Y217" i="14"/>
  <c r="X242" i="14" s="1"/>
  <c r="X219" i="14"/>
  <c r="Q222" i="14"/>
  <c r="E217" i="14"/>
  <c r="D242" i="14" s="1"/>
  <c r="M217" i="14"/>
  <c r="L242" i="14" s="1"/>
  <c r="U217" i="14"/>
  <c r="T242" i="14" s="1"/>
  <c r="AC217" i="14"/>
  <c r="AB242" i="14" s="1"/>
  <c r="P219" i="14"/>
  <c r="T221" i="14"/>
  <c r="I222" i="14"/>
  <c r="Y222" i="14"/>
  <c r="W223" i="14"/>
  <c r="V244" i="14" s="1"/>
  <c r="O224" i="14"/>
  <c r="N245" i="14" s="1"/>
  <c r="AG518" i="29"/>
  <c r="AC518" i="29"/>
  <c r="Y518" i="29"/>
  <c r="U518" i="29"/>
  <c r="Q518" i="29"/>
  <c r="M518" i="29"/>
  <c r="I518" i="29"/>
  <c r="E518" i="29"/>
  <c r="AF518" i="29"/>
  <c r="AB518" i="29"/>
  <c r="X518" i="29"/>
  <c r="T518" i="29"/>
  <c r="P518" i="29"/>
  <c r="L518" i="29"/>
  <c r="H518" i="29"/>
  <c r="AH518" i="29"/>
  <c r="Z518" i="29"/>
  <c r="R518" i="29"/>
  <c r="J518" i="29"/>
  <c r="AE518" i="29"/>
  <c r="V518" i="29"/>
  <c r="K518" i="29"/>
  <c r="AA518" i="29"/>
  <c r="F518" i="29"/>
  <c r="AD518" i="29"/>
  <c r="S518" i="29"/>
  <c r="G518" i="29"/>
  <c r="O518" i="29"/>
  <c r="W518" i="29"/>
  <c r="E180" i="14"/>
  <c r="F180" i="14" s="1"/>
  <c r="G180" i="14" s="1"/>
  <c r="H180" i="14" s="1"/>
  <c r="I180" i="14" s="1"/>
  <c r="J180" i="14" s="1"/>
  <c r="K180" i="14" s="1"/>
  <c r="L180" i="14" s="1"/>
  <c r="M180" i="14" s="1"/>
  <c r="N180" i="14" s="1"/>
  <c r="O180" i="14" s="1"/>
  <c r="P180" i="14" s="1"/>
  <c r="Q180" i="14" s="1"/>
  <c r="R180" i="14" s="1"/>
  <c r="S180" i="14" s="1"/>
  <c r="T180" i="14" s="1"/>
  <c r="U180" i="14" s="1"/>
  <c r="V180" i="14" s="1"/>
  <c r="W180" i="14" s="1"/>
  <c r="X180" i="14" s="1"/>
  <c r="Y180" i="14" s="1"/>
  <c r="Z180" i="14" s="1"/>
  <c r="AA180" i="14" s="1"/>
  <c r="AB180" i="14" s="1"/>
  <c r="AC180" i="14" s="1"/>
  <c r="AD180" i="14" s="1"/>
  <c r="AE180" i="14" s="1"/>
  <c r="AF180" i="14" s="1"/>
  <c r="AG180" i="14" s="1"/>
  <c r="AH180" i="14" s="1"/>
  <c r="E198" i="14"/>
  <c r="E177" i="14"/>
  <c r="F177" i="14" s="1"/>
  <c r="G177" i="14" s="1"/>
  <c r="H177" i="14" s="1"/>
  <c r="I177" i="14" s="1"/>
  <c r="J177" i="14" s="1"/>
  <c r="K177" i="14" s="1"/>
  <c r="L177" i="14" s="1"/>
  <c r="M177" i="14" s="1"/>
  <c r="N177" i="14" s="1"/>
  <c r="O177" i="14" s="1"/>
  <c r="P177" i="14" s="1"/>
  <c r="Q177" i="14" s="1"/>
  <c r="R177" i="14" s="1"/>
  <c r="S177" i="14" s="1"/>
  <c r="T177" i="14" s="1"/>
  <c r="U177" i="14" s="1"/>
  <c r="V177" i="14" s="1"/>
  <c r="W177" i="14" s="1"/>
  <c r="X177" i="14" s="1"/>
  <c r="Y177" i="14" s="1"/>
  <c r="Z177" i="14" s="1"/>
  <c r="AA177" i="14" s="1"/>
  <c r="AB177" i="14" s="1"/>
  <c r="AC177" i="14" s="1"/>
  <c r="AD177" i="14" s="1"/>
  <c r="AE177" i="14" s="1"/>
  <c r="AF177" i="14" s="1"/>
  <c r="AG177" i="14" s="1"/>
  <c r="AH177" i="14" s="1"/>
  <c r="E194" i="14"/>
  <c r="E174" i="14"/>
  <c r="F174" i="14" s="1"/>
  <c r="G174" i="14" s="1"/>
  <c r="H174" i="14" s="1"/>
  <c r="I174" i="14" s="1"/>
  <c r="J174" i="14" s="1"/>
  <c r="K174" i="14" s="1"/>
  <c r="L174" i="14" s="1"/>
  <c r="M174" i="14" s="1"/>
  <c r="N174" i="14" s="1"/>
  <c r="O174" i="14" s="1"/>
  <c r="P174" i="14" s="1"/>
  <c r="Q174" i="14" s="1"/>
  <c r="R174" i="14" s="1"/>
  <c r="S174" i="14" s="1"/>
  <c r="T174" i="14" s="1"/>
  <c r="U174" i="14" s="1"/>
  <c r="V174" i="14" s="1"/>
  <c r="W174" i="14" s="1"/>
  <c r="X174" i="14" s="1"/>
  <c r="Y174" i="14" s="1"/>
  <c r="Z174" i="14" s="1"/>
  <c r="AA174" i="14" s="1"/>
  <c r="AB174" i="14" s="1"/>
  <c r="AC174" i="14" s="1"/>
  <c r="AD174" i="14" s="1"/>
  <c r="AE174" i="14" s="1"/>
  <c r="AF174" i="14" s="1"/>
  <c r="AG174" i="14" s="1"/>
  <c r="AH174" i="14" s="1"/>
  <c r="AG26" i="14"/>
  <c r="AG15" i="29" s="1"/>
  <c r="S218" i="14"/>
  <c r="R243" i="14" s="1"/>
  <c r="AA223" i="14"/>
  <c r="Z244" i="14" s="1"/>
  <c r="G218" i="14"/>
  <c r="F243" i="14" s="1"/>
  <c r="W218" i="14"/>
  <c r="V243" i="14" s="1"/>
  <c r="K218" i="14"/>
  <c r="J243" i="14" s="1"/>
  <c r="AH218" i="14"/>
  <c r="AG243" i="14" s="1"/>
  <c r="AD218" i="14"/>
  <c r="AC243" i="14" s="1"/>
  <c r="Z218" i="14"/>
  <c r="Y243" i="14" s="1"/>
  <c r="V218" i="14"/>
  <c r="U243" i="14" s="1"/>
  <c r="R218" i="14"/>
  <c r="Q243" i="14" s="1"/>
  <c r="N218" i="14"/>
  <c r="M243" i="14" s="1"/>
  <c r="J218" i="14"/>
  <c r="I243" i="14" s="1"/>
  <c r="F218" i="14"/>
  <c r="E243" i="14" s="1"/>
  <c r="AB218" i="14"/>
  <c r="AA243" i="14" s="1"/>
  <c r="T218" i="14"/>
  <c r="S243" i="14" s="1"/>
  <c r="L218" i="14"/>
  <c r="K243" i="14" s="1"/>
  <c r="AG218" i="14"/>
  <c r="AF243" i="14" s="1"/>
  <c r="AC218" i="14"/>
  <c r="AB243" i="14" s="1"/>
  <c r="Y218" i="14"/>
  <c r="X243" i="14" s="1"/>
  <c r="U218" i="14"/>
  <c r="T243" i="14" s="1"/>
  <c r="Q218" i="14"/>
  <c r="P243" i="14" s="1"/>
  <c r="M218" i="14"/>
  <c r="L243" i="14" s="1"/>
  <c r="I218" i="14"/>
  <c r="H243" i="14" s="1"/>
  <c r="AF218" i="14"/>
  <c r="AE243" i="14" s="1"/>
  <c r="X218" i="14"/>
  <c r="W243" i="14" s="1"/>
  <c r="P218" i="14"/>
  <c r="O243" i="14" s="1"/>
  <c r="H218" i="14"/>
  <c r="G243" i="14" s="1"/>
  <c r="AF225" i="14"/>
  <c r="AE246" i="14" s="1"/>
  <c r="AB225" i="14"/>
  <c r="AA246" i="14" s="1"/>
  <c r="X225" i="14"/>
  <c r="W246" i="14" s="1"/>
  <c r="T225" i="14"/>
  <c r="S246" i="14" s="1"/>
  <c r="P225" i="14"/>
  <c r="O246" i="14" s="1"/>
  <c r="L225" i="14"/>
  <c r="K246" i="14" s="1"/>
  <c r="H225" i="14"/>
  <c r="G246" i="14" s="1"/>
  <c r="AE225" i="14"/>
  <c r="AD246" i="14" s="1"/>
  <c r="AA225" i="14"/>
  <c r="Z246" i="14" s="1"/>
  <c r="W225" i="14"/>
  <c r="V246" i="14" s="1"/>
  <c r="S225" i="14"/>
  <c r="R246" i="14" s="1"/>
  <c r="K225" i="14"/>
  <c r="J246" i="14" s="1"/>
  <c r="AG225" i="14"/>
  <c r="AF246" i="14" s="1"/>
  <c r="Y225" i="14"/>
  <c r="X246" i="14" s="1"/>
  <c r="Q225" i="14"/>
  <c r="P246" i="14" s="1"/>
  <c r="I225" i="14"/>
  <c r="H246" i="14" s="1"/>
  <c r="AD225" i="14"/>
  <c r="AC246" i="14" s="1"/>
  <c r="V225" i="14"/>
  <c r="U246" i="14" s="1"/>
  <c r="N225" i="14"/>
  <c r="M246" i="14" s="1"/>
  <c r="F225" i="14"/>
  <c r="E246" i="14" s="1"/>
  <c r="AC225" i="14"/>
  <c r="AB246" i="14" s="1"/>
  <c r="M225" i="14"/>
  <c r="L246" i="14" s="1"/>
  <c r="Z225" i="14"/>
  <c r="Y246" i="14" s="1"/>
  <c r="J225" i="14"/>
  <c r="I246" i="14" s="1"/>
  <c r="U225" i="14"/>
  <c r="T246" i="14" s="1"/>
  <c r="AG226" i="14"/>
  <c r="AC226" i="14"/>
  <c r="AH226" i="14"/>
  <c r="AB226" i="14"/>
  <c r="X226" i="14"/>
  <c r="T226" i="14"/>
  <c r="P226" i="14"/>
  <c r="L226" i="14"/>
  <c r="H226" i="14"/>
  <c r="AF226" i="14"/>
  <c r="AA226" i="14"/>
  <c r="W226" i="14"/>
  <c r="S226" i="14"/>
  <c r="O226" i="14"/>
  <c r="K226" i="14"/>
  <c r="G226" i="14"/>
  <c r="AE226" i="14"/>
  <c r="V226" i="14"/>
  <c r="N226" i="14"/>
  <c r="F226" i="14"/>
  <c r="AD226" i="14"/>
  <c r="U226" i="14"/>
  <c r="M226" i="14"/>
  <c r="Z226" i="14"/>
  <c r="J226" i="14"/>
  <c r="Y226" i="14"/>
  <c r="I226" i="14"/>
  <c r="R226" i="14"/>
  <c r="AG227" i="14"/>
  <c r="AC227" i="14"/>
  <c r="Y227" i="14"/>
  <c r="U227" i="14"/>
  <c r="Q227" i="14"/>
  <c r="M227" i="14"/>
  <c r="I227" i="14"/>
  <c r="AH227" i="14"/>
  <c r="AB227" i="14"/>
  <c r="W227" i="14"/>
  <c r="R227" i="14"/>
  <c r="L227" i="14"/>
  <c r="G227" i="14"/>
  <c r="AF227" i="14"/>
  <c r="AA227" i="14"/>
  <c r="V227" i="14"/>
  <c r="P227" i="14"/>
  <c r="K227" i="14"/>
  <c r="F227" i="14"/>
  <c r="AE227" i="14"/>
  <c r="T227" i="14"/>
  <c r="J227" i="14"/>
  <c r="AD227" i="14"/>
  <c r="S227" i="14"/>
  <c r="H227" i="14"/>
  <c r="O227" i="14"/>
  <c r="Z227" i="14"/>
  <c r="N227" i="14"/>
  <c r="O218" i="14"/>
  <c r="N243" i="14" s="1"/>
  <c r="AE218" i="14"/>
  <c r="AD243" i="14" s="1"/>
  <c r="AH225" i="14"/>
  <c r="AG246" i="14" s="1"/>
  <c r="M221" i="14"/>
  <c r="U221" i="14"/>
  <c r="AC221" i="14"/>
  <c r="Y224" i="14"/>
  <c r="X245" i="14" s="1"/>
  <c r="AE219" i="14"/>
  <c r="AA219" i="14"/>
  <c r="W219" i="14"/>
  <c r="S219" i="14"/>
  <c r="AH219" i="14"/>
  <c r="AD219" i="14"/>
  <c r="V219" i="14"/>
  <c r="R219" i="14"/>
  <c r="N219" i="14"/>
  <c r="F217" i="14"/>
  <c r="E242" i="14" s="1"/>
  <c r="J217" i="14"/>
  <c r="I242" i="14" s="1"/>
  <c r="N217" i="14"/>
  <c r="M242" i="14" s="1"/>
  <c r="R217" i="14"/>
  <c r="Q242" i="14" s="1"/>
  <c r="V217" i="14"/>
  <c r="U242" i="14" s="1"/>
  <c r="Z217" i="14"/>
  <c r="Y242" i="14" s="1"/>
  <c r="AD217" i="14"/>
  <c r="AC242" i="14" s="1"/>
  <c r="AH217" i="14"/>
  <c r="AG242" i="14" s="1"/>
  <c r="H219" i="14"/>
  <c r="Q219" i="14"/>
  <c r="Y219" i="14"/>
  <c r="AG219" i="14"/>
  <c r="H221" i="14"/>
  <c r="P221" i="14"/>
  <c r="X221" i="14"/>
  <c r="M222" i="14"/>
  <c r="U222" i="14"/>
  <c r="K224" i="14"/>
  <c r="J245" i="14" s="1"/>
  <c r="S224" i="14"/>
  <c r="R245" i="14" s="1"/>
  <c r="AE221" i="14"/>
  <c r="AA221" i="14"/>
  <c r="W221" i="14"/>
  <c r="S221" i="14"/>
  <c r="O221" i="14"/>
  <c r="K221" i="14"/>
  <c r="G221" i="14"/>
  <c r="AH221" i="14"/>
  <c r="AD221" i="14"/>
  <c r="Z221" i="14"/>
  <c r="V221" i="14"/>
  <c r="R221" i="14"/>
  <c r="N221" i="14"/>
  <c r="J221" i="14"/>
  <c r="F221" i="14"/>
  <c r="AF224" i="14"/>
  <c r="AE245" i="14" s="1"/>
  <c r="AB224" i="14"/>
  <c r="AA245" i="14" s="1"/>
  <c r="X224" i="14"/>
  <c r="W245" i="14" s="1"/>
  <c r="AE224" i="14"/>
  <c r="AD245" i="14" s="1"/>
  <c r="AH224" i="14"/>
  <c r="AG245" i="14" s="1"/>
  <c r="AA224" i="14"/>
  <c r="Z245" i="14" s="1"/>
  <c r="V224" i="14"/>
  <c r="U245" i="14" s="1"/>
  <c r="R224" i="14"/>
  <c r="Q245" i="14" s="1"/>
  <c r="N224" i="14"/>
  <c r="M245" i="14" s="1"/>
  <c r="J224" i="14"/>
  <c r="I245" i="14" s="1"/>
  <c r="F224" i="14"/>
  <c r="E245" i="14" s="1"/>
  <c r="AG224" i="14"/>
  <c r="AF245" i="14" s="1"/>
  <c r="Z224" i="14"/>
  <c r="Y245" i="14" s="1"/>
  <c r="U224" i="14"/>
  <c r="T245" i="14" s="1"/>
  <c r="Q224" i="14"/>
  <c r="P245" i="14" s="1"/>
  <c r="M224" i="14"/>
  <c r="L245" i="14" s="1"/>
  <c r="I224" i="14"/>
  <c r="H245" i="14" s="1"/>
  <c r="H224" i="14"/>
  <c r="G245" i="14" s="1"/>
  <c r="P224" i="14"/>
  <c r="O245" i="14" s="1"/>
  <c r="AE222" i="14"/>
  <c r="AA222" i="14"/>
  <c r="W222" i="14"/>
  <c r="S222" i="14"/>
  <c r="O222" i="14"/>
  <c r="K222" i="14"/>
  <c r="G222" i="14"/>
  <c r="AH222" i="14"/>
  <c r="AD222" i="14"/>
  <c r="Z222" i="14"/>
  <c r="V222" i="14"/>
  <c r="R222" i="14"/>
  <c r="N222" i="14"/>
  <c r="J222" i="14"/>
  <c r="F222" i="14"/>
  <c r="G217" i="14"/>
  <c r="F242" i="14" s="1"/>
  <c r="K217" i="14"/>
  <c r="J242" i="14" s="1"/>
  <c r="O217" i="14"/>
  <c r="N242" i="14" s="1"/>
  <c r="S217" i="14"/>
  <c r="R242" i="14" s="1"/>
  <c r="W217" i="14"/>
  <c r="V242" i="14" s="1"/>
  <c r="AA217" i="14"/>
  <c r="Z242" i="14" s="1"/>
  <c r="I219" i="14"/>
  <c r="M219" i="14"/>
  <c r="T219" i="14"/>
  <c r="I221" i="14"/>
  <c r="Q221" i="14"/>
  <c r="Y221" i="14"/>
  <c r="AG221" i="14"/>
  <c r="H222" i="14"/>
  <c r="P222" i="14"/>
  <c r="X222" i="14"/>
  <c r="AF222" i="14"/>
  <c r="L224" i="14"/>
  <c r="K245" i="14" s="1"/>
  <c r="T224" i="14"/>
  <c r="S245" i="14" s="1"/>
  <c r="AD224" i="14"/>
  <c r="AC245" i="14" s="1"/>
  <c r="A70" i="29"/>
  <c r="A71" i="29"/>
  <c r="A69" i="29"/>
  <c r="A68" i="29"/>
  <c r="A63" i="29"/>
  <c r="A83" i="29"/>
  <c r="A82" i="29"/>
  <c r="A85" i="29"/>
  <c r="A77" i="29"/>
  <c r="A84" i="29"/>
  <c r="G220" i="14"/>
  <c r="K220" i="14"/>
  <c r="O220" i="14"/>
  <c r="S220" i="14"/>
  <c r="W220" i="14"/>
  <c r="AA220" i="14"/>
  <c r="AE220" i="14"/>
  <c r="AI62" i="14"/>
  <c r="H220" i="14"/>
  <c r="L220" i="14"/>
  <c r="P220" i="14"/>
  <c r="T220" i="14"/>
  <c r="X220" i="14"/>
  <c r="AB220" i="14"/>
  <c r="AF220" i="14"/>
  <c r="J220" i="14"/>
  <c r="V220" i="14"/>
  <c r="AD220" i="14"/>
  <c r="R220" i="14"/>
  <c r="Z220" i="14"/>
  <c r="E220" i="14"/>
  <c r="F220" i="14"/>
  <c r="N220" i="14"/>
  <c r="AH220" i="14"/>
  <c r="F36" i="29"/>
  <c r="E183" i="29"/>
  <c r="D47" i="29"/>
  <c r="AJ518" i="29" l="1"/>
  <c r="AK518" i="29"/>
  <c r="AI518" i="29"/>
  <c r="AF411" i="29"/>
  <c r="X411" i="29"/>
  <c r="P411" i="29"/>
  <c r="H411" i="29"/>
  <c r="AB410" i="29"/>
  <c r="T410" i="29"/>
  <c r="L410" i="29"/>
  <c r="V411" i="29"/>
  <c r="L411" i="29"/>
  <c r="W411" i="29"/>
  <c r="O411" i="29"/>
  <c r="G411" i="29"/>
  <c r="AA410" i="29"/>
  <c r="S410" i="29"/>
  <c r="K410" i="29"/>
  <c r="AD411" i="29"/>
  <c r="M411" i="29"/>
  <c r="N411" i="29"/>
  <c r="AH410" i="29"/>
  <c r="Z410" i="29"/>
  <c r="R410" i="29"/>
  <c r="J410" i="29"/>
  <c r="AC411" i="29"/>
  <c r="U411" i="29"/>
  <c r="W410" i="29"/>
  <c r="AG410" i="29"/>
  <c r="Y410" i="29"/>
  <c r="Q410" i="29"/>
  <c r="I410" i="29"/>
  <c r="AB411" i="29"/>
  <c r="T411" i="29"/>
  <c r="X410" i="29"/>
  <c r="P410" i="29"/>
  <c r="H410" i="29"/>
  <c r="AA411" i="29"/>
  <c r="S411" i="29"/>
  <c r="K411" i="29"/>
  <c r="AE410" i="29"/>
  <c r="V410" i="29"/>
  <c r="O410" i="29"/>
  <c r="G410" i="29"/>
  <c r="AH411" i="29"/>
  <c r="Z411" i="29"/>
  <c r="R411" i="29"/>
  <c r="J411" i="29"/>
  <c r="AD410" i="29"/>
  <c r="M410" i="29"/>
  <c r="N410" i="29"/>
  <c r="AG411" i="29"/>
  <c r="Y411" i="29"/>
  <c r="Q411" i="29"/>
  <c r="I411" i="29"/>
  <c r="AC410" i="29"/>
  <c r="U410" i="29"/>
  <c r="F410" i="29"/>
  <c r="F411" i="29"/>
  <c r="E411" i="29"/>
  <c r="E410" i="29"/>
  <c r="AE411" i="29"/>
  <c r="AF410" i="29"/>
  <c r="F287" i="29"/>
  <c r="F317" i="29" s="1"/>
  <c r="F432" i="29"/>
  <c r="E213" i="29"/>
  <c r="E199" i="29"/>
  <c r="E185" i="29"/>
  <c r="D63" i="29"/>
  <c r="D77" i="29"/>
  <c r="D49" i="29"/>
  <c r="AI241" i="14"/>
  <c r="AI217" i="14"/>
  <c r="F150" i="14"/>
  <c r="G150" i="14"/>
  <c r="F193" i="14"/>
  <c r="F40" i="29" s="1"/>
  <c r="F194" i="14"/>
  <c r="F197" i="14"/>
  <c r="F198" i="14"/>
  <c r="E74" i="14"/>
  <c r="D137" i="14"/>
  <c r="I149" i="14"/>
  <c r="H150" i="14"/>
  <c r="T26" i="14"/>
  <c r="T15" i="29" s="1"/>
  <c r="AA26" i="14"/>
  <c r="AA15" i="29" s="1"/>
  <c r="E15" i="29"/>
  <c r="M26" i="14"/>
  <c r="M15" i="29" s="1"/>
  <c r="X26" i="14"/>
  <c r="X15" i="29" s="1"/>
  <c r="W26" i="14"/>
  <c r="W15" i="29" s="1"/>
  <c r="Y26" i="14"/>
  <c r="Y15" i="29" s="1"/>
  <c r="R116" i="14"/>
  <c r="E190" i="14"/>
  <c r="G26" i="14"/>
  <c r="G15" i="29" s="1"/>
  <c r="AD26" i="14"/>
  <c r="AD15" i="29" s="1"/>
  <c r="N26" i="14"/>
  <c r="N15" i="29" s="1"/>
  <c r="K26" i="14"/>
  <c r="K15" i="29" s="1"/>
  <c r="H26" i="14"/>
  <c r="H15" i="29" s="1"/>
  <c r="I26" i="14"/>
  <c r="I15" i="29" s="1"/>
  <c r="T130" i="14"/>
  <c r="T74" i="14" s="1"/>
  <c r="U116" i="14"/>
  <c r="AH130" i="14"/>
  <c r="AH74" i="14" s="1"/>
  <c r="X130" i="14"/>
  <c r="X74" i="14" s="1"/>
  <c r="AE130" i="14"/>
  <c r="AE74" i="14" s="1"/>
  <c r="G130" i="14"/>
  <c r="G74" i="14" s="1"/>
  <c r="Y130" i="14"/>
  <c r="Y74" i="14" s="1"/>
  <c r="S130" i="14"/>
  <c r="S74" i="14" s="1"/>
  <c r="Q130" i="14"/>
  <c r="Q74" i="14" s="1"/>
  <c r="R130" i="14"/>
  <c r="R74" i="14" s="1"/>
  <c r="AB130" i="14"/>
  <c r="AB74" i="14" s="1"/>
  <c r="AC130" i="14"/>
  <c r="AC74" i="14" s="1"/>
  <c r="AF130" i="14"/>
  <c r="AF74" i="14" s="1"/>
  <c r="J130" i="14"/>
  <c r="J74" i="14" s="1"/>
  <c r="K130" i="14"/>
  <c r="K74" i="14" s="1"/>
  <c r="N130" i="14"/>
  <c r="N74" i="14" s="1"/>
  <c r="P130" i="14"/>
  <c r="P74" i="14" s="1"/>
  <c r="L130" i="14"/>
  <c r="L74" i="14" s="1"/>
  <c r="F130" i="14"/>
  <c r="F74" i="14" s="1"/>
  <c r="W130" i="14"/>
  <c r="W74" i="14" s="1"/>
  <c r="AD130" i="14"/>
  <c r="AD74" i="14" s="1"/>
  <c r="M130" i="14"/>
  <c r="M74" i="14" s="1"/>
  <c r="D131" i="14"/>
  <c r="E82" i="14" s="1"/>
  <c r="H130" i="14"/>
  <c r="H74" i="14" s="1"/>
  <c r="I130" i="14"/>
  <c r="I74" i="14" s="1"/>
  <c r="E165" i="14"/>
  <c r="O130" i="14"/>
  <c r="O74" i="14" s="1"/>
  <c r="AG130" i="14"/>
  <c r="AG74" i="14" s="1"/>
  <c r="V130" i="14"/>
  <c r="V74" i="14" s="1"/>
  <c r="AA130" i="14"/>
  <c r="AA74" i="14" s="1"/>
  <c r="Z130" i="14"/>
  <c r="Z74" i="14" s="1"/>
  <c r="U130" i="14"/>
  <c r="U74" i="14" s="1"/>
  <c r="AB116" i="14"/>
  <c r="T116" i="14"/>
  <c r="L116" i="14"/>
  <c r="AE116" i="14"/>
  <c r="W116" i="14"/>
  <c r="O116" i="14"/>
  <c r="G116" i="14"/>
  <c r="J116" i="14"/>
  <c r="AI59" i="14"/>
  <c r="E219" i="14"/>
  <c r="AI61" i="14"/>
  <c r="I223" i="14"/>
  <c r="H244" i="14" s="1"/>
  <c r="I65" i="14"/>
  <c r="Y223" i="14"/>
  <c r="X244" i="14" s="1"/>
  <c r="Y65" i="14"/>
  <c r="J223" i="14"/>
  <c r="I244" i="14" s="1"/>
  <c r="J65" i="14"/>
  <c r="Z223" i="14"/>
  <c r="Y244" i="14" s="1"/>
  <c r="Z65" i="14"/>
  <c r="AG116" i="14"/>
  <c r="Q116" i="14"/>
  <c r="G225" i="14"/>
  <c r="F246" i="14" s="1"/>
  <c r="G65" i="14"/>
  <c r="F116" i="14"/>
  <c r="V26" i="14"/>
  <c r="V15" i="29" s="1"/>
  <c r="O26" i="14"/>
  <c r="O15" i="29" s="1"/>
  <c r="AE26" i="14"/>
  <c r="AE15" i="29" s="1"/>
  <c r="L26" i="14"/>
  <c r="L15" i="29" s="1"/>
  <c r="AB26" i="14"/>
  <c r="AB15" i="29" s="1"/>
  <c r="R26" i="14"/>
  <c r="R15" i="29" s="1"/>
  <c r="F26" i="14"/>
  <c r="F15" i="29" s="1"/>
  <c r="AH116" i="14"/>
  <c r="E116" i="14"/>
  <c r="AB223" i="14"/>
  <c r="AA244" i="14" s="1"/>
  <c r="AB65" i="14"/>
  <c r="X223" i="14"/>
  <c r="W244" i="14" s="1"/>
  <c r="X65" i="14"/>
  <c r="E221" i="14"/>
  <c r="AI63" i="14"/>
  <c r="AI67" i="14"/>
  <c r="E224" i="14"/>
  <c r="D245" i="14" s="1"/>
  <c r="M223" i="14"/>
  <c r="L244" i="14" s="1"/>
  <c r="M65" i="14"/>
  <c r="AC65" i="14"/>
  <c r="AC223" i="14"/>
  <c r="AB244" i="14" s="1"/>
  <c r="N223" i="14"/>
  <c r="M244" i="14" s="1"/>
  <c r="N65" i="14"/>
  <c r="AD223" i="14"/>
  <c r="AC244" i="14" s="1"/>
  <c r="AD65" i="14"/>
  <c r="S223" i="14"/>
  <c r="R244" i="14" s="1"/>
  <c r="S65" i="14"/>
  <c r="AF223" i="14"/>
  <c r="AE244" i="14" s="1"/>
  <c r="AF65" i="14"/>
  <c r="AE65" i="14"/>
  <c r="E227" i="14"/>
  <c r="AI70" i="14"/>
  <c r="AI68" i="14"/>
  <c r="E225" i="14"/>
  <c r="D246" i="14" s="1"/>
  <c r="AD116" i="14"/>
  <c r="U26" i="14"/>
  <c r="U15" i="29" s="1"/>
  <c r="AH26" i="14"/>
  <c r="AH15" i="29" s="1"/>
  <c r="S26" i="14"/>
  <c r="S15" i="29" s="1"/>
  <c r="Z26" i="14"/>
  <c r="Z15" i="29" s="1"/>
  <c r="P26" i="14"/>
  <c r="P15" i="29" s="1"/>
  <c r="AF26" i="14"/>
  <c r="AF15" i="29" s="1"/>
  <c r="J26" i="14"/>
  <c r="J15" i="29" s="1"/>
  <c r="AC26" i="14"/>
  <c r="AC15" i="29" s="1"/>
  <c r="Q26" i="14"/>
  <c r="Q15" i="29" s="1"/>
  <c r="E33" i="14"/>
  <c r="AF116" i="14"/>
  <c r="X116" i="14"/>
  <c r="P116" i="14"/>
  <c r="H116" i="14"/>
  <c r="AA116" i="14"/>
  <c r="S116" i="14"/>
  <c r="K116" i="14"/>
  <c r="Z116" i="14"/>
  <c r="T223" i="14"/>
  <c r="S244" i="14" s="1"/>
  <c r="T65" i="14"/>
  <c r="H223" i="14"/>
  <c r="G244" i="14" s="1"/>
  <c r="H65" i="14"/>
  <c r="AC116" i="14"/>
  <c r="M116" i="14"/>
  <c r="Q223" i="14"/>
  <c r="P244" i="14" s="1"/>
  <c r="Q65" i="14"/>
  <c r="AG65" i="14"/>
  <c r="AG223" i="14"/>
  <c r="AF244" i="14" s="1"/>
  <c r="R65" i="14"/>
  <c r="R223" i="14"/>
  <c r="Q244" i="14" s="1"/>
  <c r="AH65" i="14"/>
  <c r="AH223" i="14"/>
  <c r="AG244" i="14" s="1"/>
  <c r="K223" i="14"/>
  <c r="J244" i="14" s="1"/>
  <c r="K65" i="14"/>
  <c r="E222" i="14"/>
  <c r="AI64" i="14"/>
  <c r="P223" i="14"/>
  <c r="O244" i="14" s="1"/>
  <c r="P65" i="14"/>
  <c r="Y116" i="14"/>
  <c r="I116" i="14"/>
  <c r="E226" i="14"/>
  <c r="AI69" i="14"/>
  <c r="O225" i="14"/>
  <c r="N246" i="14" s="1"/>
  <c r="O65" i="14"/>
  <c r="E218" i="14"/>
  <c r="D243" i="14" s="1"/>
  <c r="AI60" i="14"/>
  <c r="W65" i="14"/>
  <c r="F21" i="14"/>
  <c r="F11" i="29" s="1"/>
  <c r="V116" i="14"/>
  <c r="L223" i="14"/>
  <c r="K244" i="14" s="1"/>
  <c r="L65" i="14"/>
  <c r="E223" i="14"/>
  <c r="D244" i="14" s="1"/>
  <c r="E65" i="14"/>
  <c r="AI66" i="14"/>
  <c r="U223" i="14"/>
  <c r="T244" i="14" s="1"/>
  <c r="U65" i="14"/>
  <c r="F223" i="14"/>
  <c r="E244" i="14" s="1"/>
  <c r="V65" i="14"/>
  <c r="V223" i="14"/>
  <c r="U244" i="14" s="1"/>
  <c r="AA65" i="14"/>
  <c r="N116" i="14"/>
  <c r="G36" i="29"/>
  <c r="F183" i="29"/>
  <c r="AI220" i="14"/>
  <c r="AJ220" i="14" s="1"/>
  <c r="AI52" i="14"/>
  <c r="AI48" i="14"/>
  <c r="AI50" i="14"/>
  <c r="AI54" i="14"/>
  <c r="AI46" i="14"/>
  <c r="D66" i="52" l="1"/>
  <c r="AJ217" i="14"/>
  <c r="E391" i="29"/>
  <c r="F303" i="29"/>
  <c r="F314" i="29" s="1"/>
  <c r="F289" i="29"/>
  <c r="F297" i="29" s="1"/>
  <c r="D397" i="29"/>
  <c r="E412" i="29"/>
  <c r="J412" i="29"/>
  <c r="K412" i="29"/>
  <c r="I412" i="29"/>
  <c r="R412" i="29"/>
  <c r="S412" i="29"/>
  <c r="AH412" i="29"/>
  <c r="AE412" i="29"/>
  <c r="AA412" i="29"/>
  <c r="AG412" i="29"/>
  <c r="L412" i="29"/>
  <c r="Q412" i="29"/>
  <c r="F412" i="29"/>
  <c r="U412" i="29"/>
  <c r="AD412" i="29"/>
  <c r="V412" i="29"/>
  <c r="Z412" i="29"/>
  <c r="Y412" i="29"/>
  <c r="T412" i="29"/>
  <c r="AB412" i="29"/>
  <c r="AC412" i="29"/>
  <c r="G287" i="29"/>
  <c r="G303" i="29" s="1"/>
  <c r="G432" i="29"/>
  <c r="G412" i="29"/>
  <c r="H412" i="29"/>
  <c r="E433" i="29"/>
  <c r="O412" i="29"/>
  <c r="P412" i="29"/>
  <c r="N412" i="29"/>
  <c r="W412" i="29"/>
  <c r="X412" i="29"/>
  <c r="M412" i="29"/>
  <c r="AF412" i="29"/>
  <c r="F213" i="29"/>
  <c r="F199" i="29"/>
  <c r="F185" i="29"/>
  <c r="F324" i="29"/>
  <c r="F320" i="29"/>
  <c r="F329" i="29"/>
  <c r="F325" i="29"/>
  <c r="F321" i="29"/>
  <c r="F327" i="29"/>
  <c r="F323" i="29"/>
  <c r="F322" i="29"/>
  <c r="F328" i="29"/>
  <c r="F326" i="29"/>
  <c r="E194" i="29"/>
  <c r="E192" i="29"/>
  <c r="E188" i="29"/>
  <c r="E190" i="29"/>
  <c r="E195" i="29"/>
  <c r="E189" i="29"/>
  <c r="E191" i="29"/>
  <c r="E196" i="29"/>
  <c r="E444" i="29" s="1"/>
  <c r="E193" i="29"/>
  <c r="E441" i="29" s="1"/>
  <c r="E197" i="29"/>
  <c r="E211" i="29"/>
  <c r="E207" i="29"/>
  <c r="E209" i="29"/>
  <c r="E210" i="29"/>
  <c r="E202" i="29"/>
  <c r="E203" i="29"/>
  <c r="E205" i="29"/>
  <c r="E204" i="29"/>
  <c r="E206" i="29"/>
  <c r="E208" i="29"/>
  <c r="E225" i="29"/>
  <c r="E220" i="29"/>
  <c r="E222" i="29"/>
  <c r="E219" i="29"/>
  <c r="E218" i="29"/>
  <c r="E221" i="29"/>
  <c r="E217" i="29"/>
  <c r="E224" i="29"/>
  <c r="E223" i="29"/>
  <c r="E216" i="29"/>
  <c r="F319" i="29"/>
  <c r="F318" i="29"/>
  <c r="E187" i="29"/>
  <c r="E186" i="29"/>
  <c r="E200" i="29"/>
  <c r="E201" i="29"/>
  <c r="E214" i="29"/>
  <c r="E215" i="29"/>
  <c r="D59" i="29"/>
  <c r="D61" i="29"/>
  <c r="D60" i="29"/>
  <c r="D56" i="29"/>
  <c r="D53" i="29"/>
  <c r="D55" i="29"/>
  <c r="D54" i="29"/>
  <c r="D52" i="29"/>
  <c r="D57" i="29"/>
  <c r="D50" i="29"/>
  <c r="D58" i="29"/>
  <c r="D51" i="29"/>
  <c r="D85" i="29"/>
  <c r="D86" i="29"/>
  <c r="D83" i="29"/>
  <c r="D82" i="29"/>
  <c r="D81" i="29"/>
  <c r="D80" i="29"/>
  <c r="D89" i="29"/>
  <c r="D79" i="29"/>
  <c r="D88" i="29"/>
  <c r="D78" i="29"/>
  <c r="D87" i="29"/>
  <c r="D84" i="29"/>
  <c r="D69" i="29"/>
  <c r="D70" i="29"/>
  <c r="D73" i="29"/>
  <c r="D66" i="29"/>
  <c r="D74" i="29"/>
  <c r="D67" i="29"/>
  <c r="D71" i="29"/>
  <c r="D64" i="29"/>
  <c r="D75" i="29"/>
  <c r="D72" i="29"/>
  <c r="D68" i="29"/>
  <c r="D65" i="29"/>
  <c r="F165" i="14"/>
  <c r="G165" i="14" s="1"/>
  <c r="H165" i="14" s="1"/>
  <c r="I165" i="14" s="1"/>
  <c r="J165" i="14" s="1"/>
  <c r="K165" i="14" s="1"/>
  <c r="L165" i="14" s="1"/>
  <c r="M165" i="14" s="1"/>
  <c r="N165" i="14" s="1"/>
  <c r="O165" i="14" s="1"/>
  <c r="P165" i="14" s="1"/>
  <c r="Q165" i="14" s="1"/>
  <c r="R165" i="14" s="1"/>
  <c r="S165" i="14" s="1"/>
  <c r="T165" i="14" s="1"/>
  <c r="U165" i="14" s="1"/>
  <c r="V165" i="14" s="1"/>
  <c r="W165" i="14" s="1"/>
  <c r="X165" i="14" s="1"/>
  <c r="Y165" i="14" s="1"/>
  <c r="Z165" i="14" s="1"/>
  <c r="AA165" i="14" s="1"/>
  <c r="AB165" i="14" s="1"/>
  <c r="AC165" i="14" s="1"/>
  <c r="AD165" i="14" s="1"/>
  <c r="AE165" i="14" s="1"/>
  <c r="AF165" i="14" s="1"/>
  <c r="AG165" i="14" s="1"/>
  <c r="AH165" i="14" s="1"/>
  <c r="E131" i="14"/>
  <c r="F82" i="14" s="1"/>
  <c r="AH241" i="14"/>
  <c r="AJ241" i="14" s="1"/>
  <c r="AI227" i="14"/>
  <c r="AJ227" i="14" s="1"/>
  <c r="AI226" i="14"/>
  <c r="AJ226" i="14" s="1"/>
  <c r="AI219" i="14"/>
  <c r="AJ219" i="14" s="1"/>
  <c r="AH243" i="14"/>
  <c r="AJ243" i="14" s="1"/>
  <c r="AI218" i="14"/>
  <c r="AI222" i="14"/>
  <c r="AJ222" i="14" s="1"/>
  <c r="AI221" i="14"/>
  <c r="AJ221" i="14" s="1"/>
  <c r="AI30" i="14"/>
  <c r="E207" i="14"/>
  <c r="AI207" i="14" s="1"/>
  <c r="AI27" i="14"/>
  <c r="E206" i="14"/>
  <c r="AI33" i="14"/>
  <c r="E208" i="14"/>
  <c r="AI208" i="14" s="1"/>
  <c r="AJ208" i="14" s="1"/>
  <c r="F189" i="14"/>
  <c r="F190" i="14"/>
  <c r="G198" i="14"/>
  <c r="G197" i="14"/>
  <c r="G193" i="14"/>
  <c r="G40" i="29" s="1"/>
  <c r="G194" i="14"/>
  <c r="E229" i="14"/>
  <c r="E156" i="14"/>
  <c r="J149" i="14"/>
  <c r="I150" i="14"/>
  <c r="AC43" i="14"/>
  <c r="AC71" i="14" s="1"/>
  <c r="P114" i="14"/>
  <c r="Z114" i="14"/>
  <c r="V114" i="14"/>
  <c r="J114" i="14"/>
  <c r="AC114" i="14"/>
  <c r="O114" i="14"/>
  <c r="K114" i="14"/>
  <c r="AD114" i="14"/>
  <c r="H114" i="14"/>
  <c r="F114" i="14"/>
  <c r="E114" i="14"/>
  <c r="N114" i="14"/>
  <c r="Y214" i="14"/>
  <c r="X237" i="14" s="1"/>
  <c r="AH214" i="14"/>
  <c r="AG237" i="14" s="1"/>
  <c r="U43" i="14"/>
  <c r="U71" i="14" s="1"/>
  <c r="I114" i="14"/>
  <c r="M214" i="14"/>
  <c r="L237" i="14" s="1"/>
  <c r="S114" i="14"/>
  <c r="W114" i="14"/>
  <c r="AD214" i="14"/>
  <c r="AC237" i="14" s="1"/>
  <c r="AF115" i="14"/>
  <c r="AB114" i="14"/>
  <c r="T43" i="14"/>
  <c r="T71" i="14" s="1"/>
  <c r="AI45" i="14"/>
  <c r="I43" i="14"/>
  <c r="I71" i="14" s="1"/>
  <c r="X114" i="14"/>
  <c r="U114" i="14"/>
  <c r="W214" i="14"/>
  <c r="V237" i="14" s="1"/>
  <c r="AE114" i="14"/>
  <c r="R114" i="14"/>
  <c r="AA114" i="14"/>
  <c r="AG114" i="14"/>
  <c r="X214" i="14"/>
  <c r="W237" i="14" s="1"/>
  <c r="L115" i="14"/>
  <c r="M114" i="14"/>
  <c r="AF114" i="14"/>
  <c r="Y114" i="14"/>
  <c r="L114" i="14"/>
  <c r="AH114" i="14"/>
  <c r="H36" i="29"/>
  <c r="AI47" i="14"/>
  <c r="AI49" i="14"/>
  <c r="AB115" i="14"/>
  <c r="AI51" i="14"/>
  <c r="O43" i="14"/>
  <c r="O71" i="14" s="1"/>
  <c r="Q115" i="14"/>
  <c r="S214" i="14"/>
  <c r="R237" i="14" s="1"/>
  <c r="AE43" i="14"/>
  <c r="AE71" i="14" s="1"/>
  <c r="G43" i="14"/>
  <c r="G71" i="14" s="1"/>
  <c r="K214" i="14"/>
  <c r="J237" i="14" s="1"/>
  <c r="Z43" i="14"/>
  <c r="Z71" i="14" s="1"/>
  <c r="AI53" i="14"/>
  <c r="V214" i="14"/>
  <c r="U237" i="14" s="1"/>
  <c r="AA214" i="14"/>
  <c r="Z237" i="14" s="1"/>
  <c r="P214" i="14"/>
  <c r="O237" i="14" s="1"/>
  <c r="N115" i="14"/>
  <c r="R214" i="14"/>
  <c r="Q237" i="14" s="1"/>
  <c r="AG43" i="14"/>
  <c r="AG71" i="14" s="1"/>
  <c r="J115" i="14"/>
  <c r="H43" i="14"/>
  <c r="H71" i="14" s="1"/>
  <c r="AI32" i="29"/>
  <c r="AI130" i="14"/>
  <c r="D120" i="14"/>
  <c r="E41" i="29"/>
  <c r="E22" i="29"/>
  <c r="E500" i="29" s="1"/>
  <c r="F43" i="14"/>
  <c r="F71" i="14" s="1"/>
  <c r="AI223" i="14"/>
  <c r="Q114" i="14"/>
  <c r="T114" i="14"/>
  <c r="AI225" i="14"/>
  <c r="AI65" i="14"/>
  <c r="G21" i="14"/>
  <c r="G11" i="29" s="1"/>
  <c r="G114" i="14"/>
  <c r="AI224" i="14"/>
  <c r="G183" i="29"/>
  <c r="AI15" i="29"/>
  <c r="AK15" i="29"/>
  <c r="AJ15" i="29"/>
  <c r="E13" i="29"/>
  <c r="E14" i="29"/>
  <c r="H183" i="29"/>
  <c r="F291" i="29" l="1"/>
  <c r="F290" i="29"/>
  <c r="F292" i="29"/>
  <c r="F295" i="29"/>
  <c r="F293" i="29"/>
  <c r="F310" i="29"/>
  <c r="F304" i="29"/>
  <c r="F296" i="29"/>
  <c r="F298" i="29"/>
  <c r="F294" i="29"/>
  <c r="F299" i="29"/>
  <c r="F315" i="29"/>
  <c r="F309" i="29"/>
  <c r="F308" i="29"/>
  <c r="F312" i="29"/>
  <c r="F305" i="29"/>
  <c r="D70" i="52"/>
  <c r="AJ225" i="14"/>
  <c r="D67" i="52"/>
  <c r="AJ218" i="14"/>
  <c r="D68" i="52"/>
  <c r="AJ223" i="14"/>
  <c r="F311" i="29"/>
  <c r="D69" i="52"/>
  <c r="AJ224" i="14"/>
  <c r="F306" i="29"/>
  <c r="F313" i="29"/>
  <c r="F307" i="29"/>
  <c r="F301" i="29"/>
  <c r="F300" i="29"/>
  <c r="E16" i="29"/>
  <c r="D238" i="14"/>
  <c r="D402" i="29"/>
  <c r="D529" i="29" s="1"/>
  <c r="D90" i="29"/>
  <c r="D91" i="29" s="1"/>
  <c r="E439" i="29"/>
  <c r="E532" i="29" s="1"/>
  <c r="G289" i="29"/>
  <c r="G299" i="29" s="1"/>
  <c r="G317" i="29"/>
  <c r="G323" i="29" s="1"/>
  <c r="D398" i="29"/>
  <c r="AK398" i="29" s="1"/>
  <c r="D401" i="29"/>
  <c r="AI401" i="29" s="1"/>
  <c r="D403" i="29"/>
  <c r="D404" i="29"/>
  <c r="E435" i="29"/>
  <c r="E437" i="29"/>
  <c r="E434" i="29"/>
  <c r="E443" i="29"/>
  <c r="H287" i="29"/>
  <c r="H432" i="29"/>
  <c r="D408" i="29"/>
  <c r="D537" i="29" s="1"/>
  <c r="D399" i="29"/>
  <c r="D409" i="29"/>
  <c r="D538" i="29" s="1"/>
  <c r="E438" i="29"/>
  <c r="E529" i="29" s="1"/>
  <c r="D406" i="29"/>
  <c r="D535" i="29" s="1"/>
  <c r="D407" i="29"/>
  <c r="D536" i="29" s="1"/>
  <c r="E436" i="29"/>
  <c r="D405" i="29"/>
  <c r="D400" i="29"/>
  <c r="E445" i="29"/>
  <c r="E440" i="29"/>
  <c r="E442" i="29"/>
  <c r="F433" i="29"/>
  <c r="G320" i="29"/>
  <c r="G199" i="29"/>
  <c r="G185" i="29"/>
  <c r="G213" i="29"/>
  <c r="F195" i="29"/>
  <c r="F193" i="29"/>
  <c r="F192" i="29"/>
  <c r="F196" i="29"/>
  <c r="F194" i="29"/>
  <c r="F197" i="29"/>
  <c r="F188" i="29"/>
  <c r="F190" i="29"/>
  <c r="F189" i="29"/>
  <c r="F191" i="29"/>
  <c r="F211" i="29"/>
  <c r="F208" i="29"/>
  <c r="F210" i="29"/>
  <c r="F202" i="29"/>
  <c r="F203" i="29"/>
  <c r="F204" i="29"/>
  <c r="F206" i="29"/>
  <c r="F209" i="29"/>
  <c r="F205" i="29"/>
  <c r="F207" i="29"/>
  <c r="H213" i="29"/>
  <c r="H185" i="29"/>
  <c r="H199" i="29"/>
  <c r="F223" i="29"/>
  <c r="F222" i="29"/>
  <c r="F218" i="29"/>
  <c r="F221" i="29"/>
  <c r="F224" i="29"/>
  <c r="F225" i="29"/>
  <c r="F217" i="29"/>
  <c r="F219" i="29"/>
  <c r="F220" i="29"/>
  <c r="F216" i="29"/>
  <c r="H289" i="29"/>
  <c r="H317" i="29"/>
  <c r="H303" i="29"/>
  <c r="G310" i="29"/>
  <c r="G306" i="29"/>
  <c r="G315" i="29"/>
  <c r="G307" i="29"/>
  <c r="G309" i="29"/>
  <c r="G308" i="29"/>
  <c r="G312" i="29"/>
  <c r="G311" i="29"/>
  <c r="G313" i="29"/>
  <c r="G314" i="29"/>
  <c r="G305" i="29"/>
  <c r="G304" i="29"/>
  <c r="F186" i="29"/>
  <c r="F187" i="29"/>
  <c r="F214" i="29"/>
  <c r="F215" i="29"/>
  <c r="F201" i="29"/>
  <c r="F200" i="29"/>
  <c r="E226" i="29"/>
  <c r="E446" i="29" s="1"/>
  <c r="AI206" i="14"/>
  <c r="C62" i="52" s="1"/>
  <c r="F75" i="14"/>
  <c r="F39" i="29"/>
  <c r="F505" i="29" s="1"/>
  <c r="AH248" i="14"/>
  <c r="AJ248" i="14" s="1"/>
  <c r="AI248" i="14"/>
  <c r="AH244" i="14"/>
  <c r="AJ244" i="14" s="1"/>
  <c r="AI244" i="14"/>
  <c r="AH246" i="14"/>
  <c r="AJ246" i="14" s="1"/>
  <c r="AI246" i="14"/>
  <c r="AI245" i="14"/>
  <c r="AH245" i="14"/>
  <c r="AJ245" i="14" s="1"/>
  <c r="AI242" i="14"/>
  <c r="AH242" i="14"/>
  <c r="AJ242" i="14" s="1"/>
  <c r="AI243" i="14"/>
  <c r="D119" i="14"/>
  <c r="D211" i="14"/>
  <c r="AI211" i="14" s="1"/>
  <c r="C63" i="52" s="1"/>
  <c r="H194" i="14"/>
  <c r="H193" i="14"/>
  <c r="H40" i="29" s="1"/>
  <c r="H198" i="14"/>
  <c r="H197" i="14"/>
  <c r="G190" i="14"/>
  <c r="G189" i="14"/>
  <c r="E20" i="14"/>
  <c r="K149" i="14"/>
  <c r="J150" i="14"/>
  <c r="AC115" i="14"/>
  <c r="AC214" i="14"/>
  <c r="AB237" i="14" s="1"/>
  <c r="AH43" i="14"/>
  <c r="AH71" i="14" s="1"/>
  <c r="M43" i="14"/>
  <c r="M71" i="14" s="1"/>
  <c r="X43" i="14"/>
  <c r="X71" i="14" s="1"/>
  <c r="J43" i="14"/>
  <c r="J71" i="14" s="1"/>
  <c r="P43" i="14"/>
  <c r="P71" i="14" s="1"/>
  <c r="T115" i="14"/>
  <c r="Y43" i="14"/>
  <c r="Y71" i="14" s="1"/>
  <c r="U214" i="14"/>
  <c r="T237" i="14" s="1"/>
  <c r="AF214" i="14"/>
  <c r="AE237" i="14" s="1"/>
  <c r="P115" i="14"/>
  <c r="S43" i="14"/>
  <c r="S71" i="14" s="1"/>
  <c r="AA43" i="14"/>
  <c r="AA71" i="14" s="1"/>
  <c r="X115" i="14"/>
  <c r="AH115" i="14"/>
  <c r="M115" i="14"/>
  <c r="U115" i="14"/>
  <c r="Q43" i="14"/>
  <c r="Q71" i="14" s="1"/>
  <c r="L214" i="14"/>
  <c r="K237" i="14" s="1"/>
  <c r="AD43" i="14"/>
  <c r="AD71" i="14" s="1"/>
  <c r="Z115" i="14"/>
  <c r="S115" i="14"/>
  <c r="N214" i="14"/>
  <c r="M237" i="14" s="1"/>
  <c r="Y115" i="14"/>
  <c r="AB43" i="14"/>
  <c r="AB71" i="14" s="1"/>
  <c r="J214" i="14"/>
  <c r="I237" i="14" s="1"/>
  <c r="Z214" i="14"/>
  <c r="Y237" i="14" s="1"/>
  <c r="AB214" i="14"/>
  <c r="AA237" i="14" s="1"/>
  <c r="T214" i="14"/>
  <c r="S237" i="14" s="1"/>
  <c r="AA115" i="14"/>
  <c r="W43" i="14"/>
  <c r="W71" i="14" s="1"/>
  <c r="K115" i="14"/>
  <c r="O115" i="14"/>
  <c r="Q214" i="14"/>
  <c r="P237" i="14" s="1"/>
  <c r="AG115" i="14"/>
  <c r="I214" i="14"/>
  <c r="H237" i="14" s="1"/>
  <c r="K43" i="14"/>
  <c r="K71" i="14" s="1"/>
  <c r="AG214" i="14"/>
  <c r="AF237" i="14" s="1"/>
  <c r="I115" i="14"/>
  <c r="W115" i="14"/>
  <c r="G115" i="14"/>
  <c r="F115" i="14"/>
  <c r="L43" i="14"/>
  <c r="L71" i="14" s="1"/>
  <c r="AF43" i="14"/>
  <c r="AF71" i="14" s="1"/>
  <c r="AD115" i="14"/>
  <c r="E214" i="14"/>
  <c r="D237" i="14" s="1"/>
  <c r="AI230" i="14"/>
  <c r="AJ230" i="14" s="1"/>
  <c r="V43" i="14"/>
  <c r="V71" i="14" s="1"/>
  <c r="G214" i="14"/>
  <c r="F237" i="14" s="1"/>
  <c r="R43" i="14"/>
  <c r="R71" i="14" s="1"/>
  <c r="V115" i="14"/>
  <c r="E71" i="14"/>
  <c r="H115" i="14"/>
  <c r="R115" i="14"/>
  <c r="F214" i="14"/>
  <c r="E237" i="14" s="1"/>
  <c r="O214" i="14"/>
  <c r="N237" i="14" s="1"/>
  <c r="AI44" i="14"/>
  <c r="AE214" i="14"/>
  <c r="AD237" i="14" s="1"/>
  <c r="I36" i="29"/>
  <c r="H214" i="14"/>
  <c r="G237" i="14" s="1"/>
  <c r="AE115" i="14"/>
  <c r="N43" i="14"/>
  <c r="N71" i="14" s="1"/>
  <c r="F131" i="14"/>
  <c r="G82" i="14" s="1"/>
  <c r="D139" i="14"/>
  <c r="F41" i="29"/>
  <c r="F22" i="29"/>
  <c r="F500" i="29" s="1"/>
  <c r="F391" i="29"/>
  <c r="H21" i="14"/>
  <c r="H11" i="29" s="1"/>
  <c r="E204" i="14"/>
  <c r="F13" i="29"/>
  <c r="I183" i="29"/>
  <c r="D410" i="29" l="1"/>
  <c r="AK410" i="29" s="1"/>
  <c r="F330" i="29"/>
  <c r="F331" i="29" s="1"/>
  <c r="D534" i="29"/>
  <c r="G292" i="29"/>
  <c r="G296" i="29"/>
  <c r="G293" i="29"/>
  <c r="G297" i="29"/>
  <c r="G298" i="29"/>
  <c r="G300" i="29"/>
  <c r="G294" i="29"/>
  <c r="G291" i="29"/>
  <c r="G301" i="29"/>
  <c r="G290" i="29"/>
  <c r="G295" i="29"/>
  <c r="G322" i="29"/>
  <c r="G318" i="29"/>
  <c r="G329" i="29"/>
  <c r="G321" i="29"/>
  <c r="F229" i="14"/>
  <c r="G324" i="29"/>
  <c r="E515" i="29"/>
  <c r="E487" i="29"/>
  <c r="AJ16" i="29"/>
  <c r="AK16" i="29"/>
  <c r="AI16" i="29"/>
  <c r="AK402" i="29"/>
  <c r="AJ402" i="29"/>
  <c r="AI402" i="29"/>
  <c r="F440" i="29"/>
  <c r="G325" i="29"/>
  <c r="E530" i="29"/>
  <c r="F442" i="29"/>
  <c r="G328" i="29"/>
  <c r="G326" i="29"/>
  <c r="G319" i="29"/>
  <c r="G327" i="29"/>
  <c r="F506" i="29"/>
  <c r="H433" i="29"/>
  <c r="AJ403" i="29"/>
  <c r="D530" i="29"/>
  <c r="D531" i="29"/>
  <c r="D533" i="29"/>
  <c r="AK401" i="29"/>
  <c r="AI398" i="29"/>
  <c r="AJ398" i="29"/>
  <c r="F439" i="29"/>
  <c r="D521" i="29"/>
  <c r="AJ401" i="29"/>
  <c r="AI403" i="29"/>
  <c r="AK403" i="29"/>
  <c r="F434" i="29"/>
  <c r="F437" i="29"/>
  <c r="F443" i="29"/>
  <c r="AJ409" i="29"/>
  <c r="AI409" i="29"/>
  <c r="AK409" i="29"/>
  <c r="F441" i="29"/>
  <c r="F435" i="29"/>
  <c r="F438" i="29"/>
  <c r="F529" i="29" s="1"/>
  <c r="AJ399" i="29"/>
  <c r="AK399" i="29"/>
  <c r="AI399" i="29"/>
  <c r="F436" i="29"/>
  <c r="G433" i="29"/>
  <c r="AK408" i="29"/>
  <c r="AJ408" i="29"/>
  <c r="AI408" i="29"/>
  <c r="F445" i="29"/>
  <c r="AJ407" i="29"/>
  <c r="AK407" i="29"/>
  <c r="AI407" i="29"/>
  <c r="AK404" i="29"/>
  <c r="AJ404" i="29"/>
  <c r="AI404" i="29"/>
  <c r="AI400" i="29"/>
  <c r="AK400" i="29"/>
  <c r="AJ400" i="29"/>
  <c r="AK406" i="29"/>
  <c r="AI406" i="29"/>
  <c r="AJ406" i="29"/>
  <c r="I287" i="29"/>
  <c r="I303" i="29" s="1"/>
  <c r="I432" i="29"/>
  <c r="E227" i="29"/>
  <c r="E447" i="29" s="1"/>
  <c r="F444" i="29"/>
  <c r="AI405" i="29"/>
  <c r="AK405" i="29"/>
  <c r="AJ405" i="29"/>
  <c r="D411" i="29"/>
  <c r="D517" i="29" s="1"/>
  <c r="H301" i="29"/>
  <c r="H292" i="29"/>
  <c r="H295" i="29"/>
  <c r="H297" i="29"/>
  <c r="H293" i="29"/>
  <c r="H294" i="29"/>
  <c r="H299" i="29"/>
  <c r="H296" i="29"/>
  <c r="H300" i="29"/>
  <c r="H298" i="29"/>
  <c r="G225" i="29"/>
  <c r="G224" i="29"/>
  <c r="G223" i="29"/>
  <c r="G222" i="29"/>
  <c r="G219" i="29"/>
  <c r="G221" i="29"/>
  <c r="G216" i="29"/>
  <c r="G217" i="29"/>
  <c r="G218" i="29"/>
  <c r="G220" i="29"/>
  <c r="H211" i="29"/>
  <c r="H210" i="29"/>
  <c r="H202" i="29"/>
  <c r="H204" i="29"/>
  <c r="H205" i="29"/>
  <c r="H206" i="29"/>
  <c r="H208" i="29"/>
  <c r="H203" i="29"/>
  <c r="H207" i="29"/>
  <c r="H209" i="29"/>
  <c r="G196" i="29"/>
  <c r="G194" i="29"/>
  <c r="G190" i="29"/>
  <c r="G192" i="29"/>
  <c r="G197" i="29"/>
  <c r="G191" i="29"/>
  <c r="G189" i="29"/>
  <c r="G193" i="29"/>
  <c r="G195" i="29"/>
  <c r="G188" i="29"/>
  <c r="H192" i="29"/>
  <c r="H193" i="29"/>
  <c r="H194" i="29"/>
  <c r="H189" i="29"/>
  <c r="H190" i="29"/>
  <c r="H197" i="29"/>
  <c r="H195" i="29"/>
  <c r="H191" i="29"/>
  <c r="H196" i="29"/>
  <c r="H188" i="29"/>
  <c r="G209" i="29"/>
  <c r="G203" i="29"/>
  <c r="G211" i="29"/>
  <c r="G204" i="29"/>
  <c r="G205" i="29"/>
  <c r="G207" i="29"/>
  <c r="G202" i="29"/>
  <c r="G206" i="29"/>
  <c r="G208" i="29"/>
  <c r="G210" i="29"/>
  <c r="H324" i="29"/>
  <c r="H326" i="29"/>
  <c r="H320" i="29"/>
  <c r="H327" i="29"/>
  <c r="H329" i="29"/>
  <c r="H321" i="29"/>
  <c r="H322" i="29"/>
  <c r="H323" i="29"/>
  <c r="H325" i="29"/>
  <c r="H328" i="29"/>
  <c r="I199" i="29"/>
  <c r="I213" i="29"/>
  <c r="I185" i="29"/>
  <c r="H225" i="29"/>
  <c r="H224" i="29"/>
  <c r="H221" i="29"/>
  <c r="H216" i="29"/>
  <c r="H217" i="29"/>
  <c r="H220" i="29"/>
  <c r="H223" i="29"/>
  <c r="H222" i="29"/>
  <c r="H218" i="29"/>
  <c r="H219" i="29"/>
  <c r="H315" i="29"/>
  <c r="H314" i="29"/>
  <c r="H310" i="29"/>
  <c r="H307" i="29"/>
  <c r="H308" i="29"/>
  <c r="H312" i="29"/>
  <c r="H311" i="29"/>
  <c r="H309" i="29"/>
  <c r="H306" i="29"/>
  <c r="H313" i="29"/>
  <c r="H318" i="29"/>
  <c r="H319" i="29"/>
  <c r="H291" i="29"/>
  <c r="H290" i="29"/>
  <c r="F378" i="29"/>
  <c r="F466" i="29" s="1"/>
  <c r="H305" i="29"/>
  <c r="H304" i="29"/>
  <c r="H214" i="29"/>
  <c r="H215" i="29"/>
  <c r="G214" i="29"/>
  <c r="G215" i="29"/>
  <c r="H186" i="29"/>
  <c r="H187" i="29"/>
  <c r="G187" i="29"/>
  <c r="G186" i="29"/>
  <c r="H201" i="29"/>
  <c r="H200" i="29"/>
  <c r="G200" i="29"/>
  <c r="G201" i="29"/>
  <c r="F226" i="29"/>
  <c r="AI238" i="14"/>
  <c r="AH238" i="14"/>
  <c r="AJ238" i="14" s="1"/>
  <c r="F76" i="14"/>
  <c r="F122" i="14" s="1"/>
  <c r="G75" i="14"/>
  <c r="G39" i="29"/>
  <c r="E17" i="14"/>
  <c r="E42" i="14" s="1"/>
  <c r="E72" i="14" s="1"/>
  <c r="E202" i="14"/>
  <c r="E212" i="14" s="1"/>
  <c r="AI204" i="14"/>
  <c r="E384" i="29"/>
  <c r="E472" i="29" s="1"/>
  <c r="AI237" i="14"/>
  <c r="AH237" i="14"/>
  <c r="AJ237" i="14" s="1"/>
  <c r="E380" i="29"/>
  <c r="E468" i="29" s="1"/>
  <c r="E388" i="29"/>
  <c r="E476" i="29" s="1"/>
  <c r="E385" i="29"/>
  <c r="E473" i="29" s="1"/>
  <c r="E386" i="29"/>
  <c r="E474" i="29" s="1"/>
  <c r="E387" i="29"/>
  <c r="E475" i="29" s="1"/>
  <c r="C239" i="14"/>
  <c r="C249" i="14" s="1"/>
  <c r="H190" i="14"/>
  <c r="H189" i="14"/>
  <c r="I197" i="14"/>
  <c r="I198" i="14"/>
  <c r="I193" i="14"/>
  <c r="I40" i="29" s="1"/>
  <c r="I194" i="14"/>
  <c r="D126" i="14"/>
  <c r="D128" i="14" s="1"/>
  <c r="E127" i="14" s="1"/>
  <c r="E106" i="14"/>
  <c r="D141" i="14"/>
  <c r="D142" i="14" s="1"/>
  <c r="E140" i="14"/>
  <c r="L149" i="14"/>
  <c r="K150" i="14"/>
  <c r="E10" i="29"/>
  <c r="E382" i="29"/>
  <c r="E470" i="29" s="1"/>
  <c r="AI214" i="14"/>
  <c r="F20" i="14"/>
  <c r="F202" i="14" s="1"/>
  <c r="E9" i="29"/>
  <c r="E379" i="29"/>
  <c r="E467" i="29" s="1"/>
  <c r="E383" i="29"/>
  <c r="E471" i="29" s="1"/>
  <c r="E381" i="29"/>
  <c r="E469" i="29" s="1"/>
  <c r="AI43" i="14"/>
  <c r="J36" i="29"/>
  <c r="G41" i="29"/>
  <c r="G22" i="29"/>
  <c r="G500" i="29" s="1"/>
  <c r="G391" i="29"/>
  <c r="G131" i="14"/>
  <c r="H82" i="14" s="1"/>
  <c r="I21" i="14"/>
  <c r="I11" i="29" s="1"/>
  <c r="F14" i="29"/>
  <c r="F22" i="14"/>
  <c r="F205" i="14" s="1"/>
  <c r="G13" i="29"/>
  <c r="E12" i="29"/>
  <c r="J183" i="29"/>
  <c r="AI71" i="14"/>
  <c r="F388" i="29" l="1"/>
  <c r="F476" i="29" s="1"/>
  <c r="AJ410" i="29"/>
  <c r="AI410" i="29"/>
  <c r="AJ214" i="14"/>
  <c r="C61" i="52"/>
  <c r="E112" i="14"/>
  <c r="H434" i="29"/>
  <c r="I289" i="29"/>
  <c r="I293" i="29" s="1"/>
  <c r="I317" i="29"/>
  <c r="I320" i="29" s="1"/>
  <c r="G439" i="29"/>
  <c r="G530" i="29" s="1"/>
  <c r="AK515" i="29"/>
  <c r="AI515" i="29"/>
  <c r="AJ515" i="29"/>
  <c r="G229" i="14"/>
  <c r="F383" i="29"/>
  <c r="F471" i="29" s="1"/>
  <c r="F386" i="29"/>
  <c r="F474" i="29" s="1"/>
  <c r="H437" i="29"/>
  <c r="F382" i="29"/>
  <c r="F470" i="29" s="1"/>
  <c r="F385" i="29"/>
  <c r="F473" i="29" s="1"/>
  <c r="G434" i="29"/>
  <c r="G330" i="29"/>
  <c r="G331" i="29" s="1"/>
  <c r="E539" i="29"/>
  <c r="E549" i="29" s="1"/>
  <c r="E563" i="29" s="1"/>
  <c r="H442" i="29"/>
  <c r="G445" i="29"/>
  <c r="H440" i="29"/>
  <c r="G378" i="29"/>
  <c r="G466" i="29" s="1"/>
  <c r="G505" i="29"/>
  <c r="E514" i="29"/>
  <c r="E486" i="29"/>
  <c r="F380" i="29"/>
  <c r="F468" i="29" s="1"/>
  <c r="F379" i="29"/>
  <c r="F467" i="29" s="1"/>
  <c r="F384" i="29"/>
  <c r="F472" i="29" s="1"/>
  <c r="F532" i="29"/>
  <c r="F530" i="29"/>
  <c r="AK531" i="29"/>
  <c r="AI531" i="29"/>
  <c r="AJ531" i="29"/>
  <c r="D522" i="29"/>
  <c r="H435" i="29"/>
  <c r="F381" i="29"/>
  <c r="F469" i="29" s="1"/>
  <c r="F387" i="29"/>
  <c r="F475" i="29" s="1"/>
  <c r="G435" i="29"/>
  <c r="H438" i="29"/>
  <c r="H529" i="29" s="1"/>
  <c r="G437" i="29"/>
  <c r="AI411" i="29"/>
  <c r="AK411" i="29"/>
  <c r="AJ411" i="29"/>
  <c r="D412" i="29"/>
  <c r="E448" i="29"/>
  <c r="J287" i="29"/>
  <c r="J289" i="29" s="1"/>
  <c r="J432" i="29"/>
  <c r="H436" i="29"/>
  <c r="H441" i="29"/>
  <c r="G440" i="29"/>
  <c r="H444" i="29"/>
  <c r="G438" i="29"/>
  <c r="G529" i="29" s="1"/>
  <c r="H439" i="29"/>
  <c r="G436" i="29"/>
  <c r="G442" i="29"/>
  <c r="H443" i="29"/>
  <c r="G443" i="29"/>
  <c r="G444" i="29"/>
  <c r="F227" i="29"/>
  <c r="F447" i="29" s="1"/>
  <c r="F446" i="29"/>
  <c r="H445" i="29"/>
  <c r="G441" i="29"/>
  <c r="I309" i="29"/>
  <c r="I315" i="29"/>
  <c r="I307" i="29"/>
  <c r="I312" i="29"/>
  <c r="I308" i="29"/>
  <c r="I306" i="29"/>
  <c r="I314" i="29"/>
  <c r="I311" i="29"/>
  <c r="I310" i="29"/>
  <c r="I313" i="29"/>
  <c r="J185" i="29"/>
  <c r="J213" i="29"/>
  <c r="J199" i="29"/>
  <c r="E389" i="29"/>
  <c r="I190" i="29"/>
  <c r="I196" i="29"/>
  <c r="I188" i="29"/>
  <c r="I195" i="29"/>
  <c r="I189" i="29"/>
  <c r="I197" i="29"/>
  <c r="I191" i="29"/>
  <c r="I193" i="29"/>
  <c r="I192" i="29"/>
  <c r="I194" i="29"/>
  <c r="I225" i="29"/>
  <c r="I222" i="29"/>
  <c r="I218" i="29"/>
  <c r="I217" i="29"/>
  <c r="I219" i="29"/>
  <c r="I220" i="29"/>
  <c r="I216" i="29"/>
  <c r="I221" i="29"/>
  <c r="I223" i="29"/>
  <c r="I224" i="29"/>
  <c r="I211" i="29"/>
  <c r="I203" i="29"/>
  <c r="I205" i="29"/>
  <c r="I206" i="29"/>
  <c r="I207" i="29"/>
  <c r="I209" i="29"/>
  <c r="I204" i="29"/>
  <c r="I208" i="29"/>
  <c r="I210" i="29"/>
  <c r="I202" i="29"/>
  <c r="H330" i="29"/>
  <c r="H331" i="29" s="1"/>
  <c r="I305" i="29"/>
  <c r="I304" i="29"/>
  <c r="H226" i="29"/>
  <c r="I186" i="29"/>
  <c r="I187" i="29"/>
  <c r="I201" i="29"/>
  <c r="I200" i="29"/>
  <c r="G226" i="29"/>
  <c r="I215" i="29"/>
  <c r="I214" i="29"/>
  <c r="G76" i="14"/>
  <c r="G122" i="14" s="1"/>
  <c r="E8" i="29"/>
  <c r="D37" i="31"/>
  <c r="E31" i="29" s="1"/>
  <c r="E490" i="29" s="1"/>
  <c r="D546" i="29"/>
  <c r="D560" i="29" s="1"/>
  <c r="E203" i="14"/>
  <c r="D236" i="14" s="1"/>
  <c r="H75" i="14"/>
  <c r="H39" i="29"/>
  <c r="H505" i="29" s="1"/>
  <c r="H506" i="29" s="1"/>
  <c r="G387" i="29"/>
  <c r="G475" i="29" s="1"/>
  <c r="AI239" i="14"/>
  <c r="AH239" i="14"/>
  <c r="AJ239" i="14" s="1"/>
  <c r="J198" i="14"/>
  <c r="J197" i="14"/>
  <c r="J193" i="14"/>
  <c r="J40" i="29" s="1"/>
  <c r="J194" i="14"/>
  <c r="I189" i="14"/>
  <c r="I190" i="14"/>
  <c r="G9" i="29"/>
  <c r="M149" i="14"/>
  <c r="L150" i="14"/>
  <c r="F9" i="29"/>
  <c r="F17" i="14"/>
  <c r="F203" i="14" s="1"/>
  <c r="E236" i="14" s="1"/>
  <c r="F10" i="29"/>
  <c r="K36" i="29"/>
  <c r="H131" i="14"/>
  <c r="I82" i="14" s="1"/>
  <c r="H41" i="29"/>
  <c r="H22" i="29"/>
  <c r="H500" i="29" s="1"/>
  <c r="H391" i="29"/>
  <c r="J21" i="14"/>
  <c r="J11" i="29" s="1"/>
  <c r="H9" i="29"/>
  <c r="F212" i="14"/>
  <c r="G14" i="29"/>
  <c r="G22" i="14"/>
  <c r="G205" i="14" s="1"/>
  <c r="F113" i="14"/>
  <c r="F12" i="29"/>
  <c r="H13" i="29"/>
  <c r="K183" i="29"/>
  <c r="I290" i="29" l="1"/>
  <c r="I296" i="29"/>
  <c r="I291" i="29"/>
  <c r="I300" i="29"/>
  <c r="I292" i="29"/>
  <c r="I295" i="29"/>
  <c r="I301" i="29"/>
  <c r="I297" i="29"/>
  <c r="I299" i="29"/>
  <c r="I443" i="29" s="1"/>
  <c r="I326" i="29"/>
  <c r="I325" i="29"/>
  <c r="I321" i="29"/>
  <c r="I324" i="29"/>
  <c r="I327" i="29"/>
  <c r="I294" i="29"/>
  <c r="I298" i="29"/>
  <c r="I442" i="29" s="1"/>
  <c r="I433" i="29"/>
  <c r="I323" i="29"/>
  <c r="I328" i="29"/>
  <c r="I322" i="29"/>
  <c r="I318" i="29"/>
  <c r="I329" i="29"/>
  <c r="I319" i="29"/>
  <c r="G532" i="29"/>
  <c r="C250" i="14"/>
  <c r="D543" i="29"/>
  <c r="D544" i="29" s="1"/>
  <c r="D558" i="29" s="1"/>
  <c r="J317" i="29"/>
  <c r="J303" i="29"/>
  <c r="E485" i="29"/>
  <c r="E484" i="29" s="1"/>
  <c r="E21" i="29"/>
  <c r="H229" i="14"/>
  <c r="F389" i="29"/>
  <c r="F390" i="29" s="1"/>
  <c r="F477" i="29" s="1"/>
  <c r="F479" i="29" s="1"/>
  <c r="G388" i="29"/>
  <c r="G476" i="29" s="1"/>
  <c r="G382" i="29"/>
  <c r="G470" i="29" s="1"/>
  <c r="G380" i="29"/>
  <c r="G468" i="29" s="1"/>
  <c r="G384" i="29"/>
  <c r="G472" i="29" s="1"/>
  <c r="G386" i="29"/>
  <c r="G474" i="29" s="1"/>
  <c r="G385" i="29"/>
  <c r="G473" i="29" s="1"/>
  <c r="G383" i="29"/>
  <c r="G471" i="29" s="1"/>
  <c r="G379" i="29"/>
  <c r="G467" i="29" s="1"/>
  <c r="G381" i="29"/>
  <c r="G469" i="29" s="1"/>
  <c r="F514" i="29"/>
  <c r="F486" i="29"/>
  <c r="G506" i="29"/>
  <c r="F539" i="29"/>
  <c r="H532" i="29"/>
  <c r="H530" i="29"/>
  <c r="I434" i="29"/>
  <c r="I435" i="29"/>
  <c r="I436" i="29"/>
  <c r="F448" i="29"/>
  <c r="AJ412" i="29"/>
  <c r="E513" i="29"/>
  <c r="AK412" i="29"/>
  <c r="AI412" i="29"/>
  <c r="I441" i="29"/>
  <c r="I437" i="29"/>
  <c r="J433" i="29"/>
  <c r="H227" i="29"/>
  <c r="H447" i="29" s="1"/>
  <c r="H446" i="29"/>
  <c r="I444" i="29"/>
  <c r="I440" i="29"/>
  <c r="I438" i="29"/>
  <c r="I529" i="29" s="1"/>
  <c r="E390" i="29"/>
  <c r="E477" i="29" s="1"/>
  <c r="E478" i="29"/>
  <c r="F31" i="29"/>
  <c r="G31" i="29" s="1"/>
  <c r="E414" i="29"/>
  <c r="E516" i="29" s="1"/>
  <c r="K287" i="29"/>
  <c r="K317" i="29" s="1"/>
  <c r="K432" i="29"/>
  <c r="G227" i="29"/>
  <c r="G447" i="29" s="1"/>
  <c r="G446" i="29"/>
  <c r="I439" i="29"/>
  <c r="I445" i="29"/>
  <c r="K199" i="29"/>
  <c r="K185" i="29"/>
  <c r="K213" i="29"/>
  <c r="J204" i="29"/>
  <c r="J211" i="29"/>
  <c r="J206" i="29"/>
  <c r="J207" i="29"/>
  <c r="J208" i="29"/>
  <c r="J210" i="29"/>
  <c r="J202" i="29"/>
  <c r="J203" i="29"/>
  <c r="J205" i="29"/>
  <c r="J209" i="29"/>
  <c r="J300" i="29"/>
  <c r="J293" i="29"/>
  <c r="J295" i="29"/>
  <c r="J292" i="29"/>
  <c r="J294" i="29"/>
  <c r="J297" i="29"/>
  <c r="J299" i="29"/>
  <c r="J296" i="29"/>
  <c r="J298" i="29"/>
  <c r="J301" i="29"/>
  <c r="J225" i="29"/>
  <c r="J218" i="29"/>
  <c r="J222" i="29"/>
  <c r="J217" i="29"/>
  <c r="J223" i="29"/>
  <c r="J216" i="29"/>
  <c r="J224" i="29"/>
  <c r="J220" i="29"/>
  <c r="J221" i="29"/>
  <c r="J219" i="29"/>
  <c r="J315" i="29"/>
  <c r="J307" i="29"/>
  <c r="J312" i="29"/>
  <c r="J309" i="29"/>
  <c r="J310" i="29"/>
  <c r="J314" i="29"/>
  <c r="J306" i="29"/>
  <c r="J313" i="29"/>
  <c r="J308" i="29"/>
  <c r="J311" i="29"/>
  <c r="J191" i="29"/>
  <c r="J197" i="29"/>
  <c r="J189" i="29"/>
  <c r="J193" i="29"/>
  <c r="J195" i="29"/>
  <c r="J196" i="29"/>
  <c r="J188" i="29"/>
  <c r="J194" i="29"/>
  <c r="J192" i="29"/>
  <c r="J190" i="29"/>
  <c r="J328" i="29"/>
  <c r="J327" i="29"/>
  <c r="J329" i="29"/>
  <c r="J326" i="29"/>
  <c r="J321" i="29"/>
  <c r="J320" i="29"/>
  <c r="J325" i="29"/>
  <c r="J322" i="29"/>
  <c r="J323" i="29"/>
  <c r="J324" i="29"/>
  <c r="I330" i="29"/>
  <c r="I331" i="29" s="1"/>
  <c r="J305" i="29"/>
  <c r="J304" i="29"/>
  <c r="J318" i="29"/>
  <c r="J319" i="29"/>
  <c r="J291" i="29"/>
  <c r="J290" i="29"/>
  <c r="J200" i="29"/>
  <c r="J201" i="29"/>
  <c r="J187" i="29"/>
  <c r="J186" i="29"/>
  <c r="I226" i="29"/>
  <c r="J215" i="29"/>
  <c r="J214" i="29"/>
  <c r="F156" i="14"/>
  <c r="E81" i="14"/>
  <c r="H76" i="14"/>
  <c r="H122" i="14" s="1"/>
  <c r="D547" i="29"/>
  <c r="D561" i="29" s="1"/>
  <c r="I75" i="14"/>
  <c r="I39" i="29"/>
  <c r="I505" i="29" s="1"/>
  <c r="I506" i="29" s="1"/>
  <c r="E545" i="29"/>
  <c r="D545" i="29"/>
  <c r="E138" i="29"/>
  <c r="E547" i="29"/>
  <c r="D548" i="29"/>
  <c r="D562" i="29" s="1"/>
  <c r="J189" i="14"/>
  <c r="J190" i="14"/>
  <c r="K193" i="14"/>
  <c r="K40" i="29" s="1"/>
  <c r="K194" i="14"/>
  <c r="K197" i="14"/>
  <c r="K198" i="14"/>
  <c r="F8" i="29"/>
  <c r="F42" i="14"/>
  <c r="F72" i="14" s="1"/>
  <c r="G20" i="14"/>
  <c r="M150" i="14"/>
  <c r="N149" i="14"/>
  <c r="F112" i="14"/>
  <c r="F231" i="14"/>
  <c r="G156" i="14"/>
  <c r="L36" i="29"/>
  <c r="I41" i="29"/>
  <c r="I22" i="29"/>
  <c r="I500" i="29" s="1"/>
  <c r="I391" i="29"/>
  <c r="H378" i="29"/>
  <c r="H466" i="29" s="1"/>
  <c r="I131" i="14"/>
  <c r="J82" i="14" s="1"/>
  <c r="K21" i="14"/>
  <c r="K11" i="29" s="1"/>
  <c r="H20" i="14"/>
  <c r="I13" i="29"/>
  <c r="H14" i="29"/>
  <c r="H22" i="14"/>
  <c r="H205" i="14" s="1"/>
  <c r="G12" i="29"/>
  <c r="G113" i="14"/>
  <c r="L183" i="29"/>
  <c r="F138" i="29" l="1"/>
  <c r="F154" i="29" s="1"/>
  <c r="K289" i="29"/>
  <c r="K303" i="29"/>
  <c r="K313" i="29" s="1"/>
  <c r="G539" i="29"/>
  <c r="F478" i="29"/>
  <c r="I76" i="14"/>
  <c r="I122" i="14" s="1"/>
  <c r="H231" i="14" s="1"/>
  <c r="G389" i="29"/>
  <c r="G390" i="29" s="1"/>
  <c r="G477" i="29" s="1"/>
  <c r="G479" i="29" s="1"/>
  <c r="E84" i="14"/>
  <c r="E104" i="14" s="1"/>
  <c r="E83" i="14" s="1"/>
  <c r="E140" i="29"/>
  <c r="E168" i="29"/>
  <c r="E154" i="29"/>
  <c r="G414" i="29"/>
  <c r="G516" i="29" s="1"/>
  <c r="G490" i="29"/>
  <c r="G514" i="29"/>
  <c r="G486" i="29"/>
  <c r="F414" i="29"/>
  <c r="F516" i="29" s="1"/>
  <c r="F490" i="29"/>
  <c r="F549" i="29"/>
  <c r="F563" i="29" s="1"/>
  <c r="F513" i="29"/>
  <c r="F485" i="29"/>
  <c r="F484" i="29" s="1"/>
  <c r="E42" i="29"/>
  <c r="E499" i="29"/>
  <c r="I532" i="29"/>
  <c r="I530" i="29"/>
  <c r="G448" i="29"/>
  <c r="J437" i="29"/>
  <c r="J438" i="29"/>
  <c r="J529" i="29" s="1"/>
  <c r="H448" i="29"/>
  <c r="J445" i="29"/>
  <c r="J441" i="29"/>
  <c r="L287" i="29"/>
  <c r="L317" i="29" s="1"/>
  <c r="L432" i="29"/>
  <c r="J439" i="29"/>
  <c r="J442" i="29"/>
  <c r="E479" i="29"/>
  <c r="J440" i="29"/>
  <c r="I227" i="29"/>
  <c r="I447" i="29" s="1"/>
  <c r="I446" i="29"/>
  <c r="J435" i="29"/>
  <c r="J436" i="29"/>
  <c r="J434" i="29"/>
  <c r="J444" i="29"/>
  <c r="J443" i="29"/>
  <c r="K292" i="29"/>
  <c r="K293" i="29"/>
  <c r="K295" i="29"/>
  <c r="K296" i="29"/>
  <c r="K294" i="29"/>
  <c r="K299" i="29"/>
  <c r="K300" i="29"/>
  <c r="K298" i="29"/>
  <c r="K301" i="29"/>
  <c r="K297" i="29"/>
  <c r="K310" i="29"/>
  <c r="K308" i="29"/>
  <c r="K306" i="29"/>
  <c r="K315" i="29"/>
  <c r="K314" i="29"/>
  <c r="F21" i="29"/>
  <c r="F499" i="29" s="1"/>
  <c r="K322" i="29"/>
  <c r="K324" i="29"/>
  <c r="K325" i="29"/>
  <c r="K328" i="29"/>
  <c r="K329" i="29"/>
  <c r="K321" i="29"/>
  <c r="K327" i="29"/>
  <c r="K320" i="29"/>
  <c r="K323" i="29"/>
  <c r="K326" i="29"/>
  <c r="L185" i="29"/>
  <c r="L199" i="29"/>
  <c r="L213" i="29"/>
  <c r="K225" i="29"/>
  <c r="K224" i="29"/>
  <c r="K219" i="29"/>
  <c r="K218" i="29"/>
  <c r="K217" i="29"/>
  <c r="K220" i="29"/>
  <c r="K216" i="29"/>
  <c r="K222" i="29"/>
  <c r="K223" i="29"/>
  <c r="K221" i="29"/>
  <c r="K192" i="29"/>
  <c r="K190" i="29"/>
  <c r="K197" i="29"/>
  <c r="K191" i="29"/>
  <c r="K193" i="29"/>
  <c r="K195" i="29"/>
  <c r="K194" i="29"/>
  <c r="K196" i="29"/>
  <c r="K188" i="29"/>
  <c r="K189" i="29"/>
  <c r="K205" i="29"/>
  <c r="K207" i="29"/>
  <c r="K208" i="29"/>
  <c r="K209" i="29"/>
  <c r="K203" i="29"/>
  <c r="K206" i="29"/>
  <c r="K210" i="29"/>
  <c r="K211" i="29"/>
  <c r="K204" i="29"/>
  <c r="K202" i="29"/>
  <c r="K318" i="29"/>
  <c r="K319" i="29"/>
  <c r="J330" i="29"/>
  <c r="J331" i="29" s="1"/>
  <c r="K305" i="29"/>
  <c r="K304" i="29"/>
  <c r="K290" i="29"/>
  <c r="K291" i="29"/>
  <c r="H31" i="29"/>
  <c r="G138" i="29"/>
  <c r="K215" i="29"/>
  <c r="K214" i="29"/>
  <c r="J226" i="29"/>
  <c r="K186" i="29"/>
  <c r="K187" i="29"/>
  <c r="K200" i="29"/>
  <c r="K201" i="29"/>
  <c r="F547" i="29"/>
  <c r="D552" i="29"/>
  <c r="D553" i="29" s="1"/>
  <c r="E124" i="14"/>
  <c r="E119" i="14" s="1"/>
  <c r="E85" i="14"/>
  <c r="E103" i="14" s="1"/>
  <c r="I229" i="14"/>
  <c r="E561" i="29"/>
  <c r="D559" i="29"/>
  <c r="J75" i="14"/>
  <c r="J39" i="29"/>
  <c r="J505" i="29" s="1"/>
  <c r="J506" i="29" s="1"/>
  <c r="D540" i="29"/>
  <c r="F545" i="29"/>
  <c r="F124" i="14"/>
  <c r="F119" i="14" s="1"/>
  <c r="H385" i="29"/>
  <c r="H473" i="29" s="1"/>
  <c r="H386" i="29"/>
  <c r="H474" i="29" s="1"/>
  <c r="H387" i="29"/>
  <c r="H475" i="29" s="1"/>
  <c r="H388" i="29"/>
  <c r="H476" i="29" s="1"/>
  <c r="G10" i="29"/>
  <c r="G202" i="14"/>
  <c r="H17" i="14"/>
  <c r="H203" i="14" s="1"/>
  <c r="G236" i="14" s="1"/>
  <c r="H202" i="14"/>
  <c r="H212" i="14" s="1"/>
  <c r="G17" i="14"/>
  <c r="G8" i="29" s="1"/>
  <c r="L197" i="14"/>
  <c r="L198" i="14"/>
  <c r="L193" i="14"/>
  <c r="L40" i="29" s="1"/>
  <c r="L194" i="14"/>
  <c r="K189" i="14"/>
  <c r="K190" i="14"/>
  <c r="I378" i="29"/>
  <c r="I466" i="29" s="1"/>
  <c r="F81" i="14"/>
  <c r="F84" i="14" s="1"/>
  <c r="N150" i="14"/>
  <c r="O149" i="14"/>
  <c r="G549" i="29"/>
  <c r="G563" i="29" s="1"/>
  <c r="H381" i="29"/>
  <c r="H469" i="29" s="1"/>
  <c r="H382" i="29"/>
  <c r="H470" i="29" s="1"/>
  <c r="H383" i="29"/>
  <c r="H471" i="29" s="1"/>
  <c r="H384" i="29"/>
  <c r="H472" i="29" s="1"/>
  <c r="M36" i="29"/>
  <c r="J41" i="29"/>
  <c r="J22" i="29"/>
  <c r="J500" i="29" s="1"/>
  <c r="J391" i="29"/>
  <c r="H380" i="29"/>
  <c r="H468" i="29" s="1"/>
  <c r="H379" i="29"/>
  <c r="H467" i="29" s="1"/>
  <c r="J131" i="14"/>
  <c r="K82" i="14" s="1"/>
  <c r="L21" i="14"/>
  <c r="L11" i="29" s="1"/>
  <c r="E155" i="14"/>
  <c r="E157" i="14" s="1"/>
  <c r="H10" i="29"/>
  <c r="I9" i="29"/>
  <c r="I20" i="14"/>
  <c r="J13" i="29"/>
  <c r="H12" i="29"/>
  <c r="H113" i="14"/>
  <c r="J20" i="14"/>
  <c r="J202" i="14" s="1"/>
  <c r="J9" i="29"/>
  <c r="I14" i="29"/>
  <c r="I22" i="14"/>
  <c r="I205" i="14" s="1"/>
  <c r="M183" i="29"/>
  <c r="G478" i="29" l="1"/>
  <c r="K433" i="29"/>
  <c r="K307" i="29"/>
  <c r="K312" i="29"/>
  <c r="K311" i="29"/>
  <c r="K309" i="29"/>
  <c r="F168" i="29"/>
  <c r="F180" i="29" s="1"/>
  <c r="F140" i="29"/>
  <c r="F145" i="29" s="1"/>
  <c r="E105" i="14"/>
  <c r="E107" i="14" s="1"/>
  <c r="F106" i="14" s="1"/>
  <c r="E228" i="14"/>
  <c r="F415" i="29"/>
  <c r="L303" i="29"/>
  <c r="F42" i="29"/>
  <c r="L289" i="29"/>
  <c r="L299" i="29" s="1"/>
  <c r="L433" i="29"/>
  <c r="J229" i="14"/>
  <c r="E17" i="29"/>
  <c r="E19" i="29" s="1"/>
  <c r="K444" i="29"/>
  <c r="E117" i="14"/>
  <c r="E111" i="14" s="1"/>
  <c r="E138" i="14" s="1"/>
  <c r="E139" i="14" s="1"/>
  <c r="H539" i="29"/>
  <c r="G513" i="29"/>
  <c r="G485" i="29"/>
  <c r="G484" i="29" s="1"/>
  <c r="K436" i="29"/>
  <c r="K440" i="29"/>
  <c r="F159" i="29"/>
  <c r="F163" i="29"/>
  <c r="F160" i="29"/>
  <c r="F166" i="29"/>
  <c r="F162" i="29"/>
  <c r="F156" i="29"/>
  <c r="F158" i="29"/>
  <c r="F164" i="29"/>
  <c r="F161" i="29"/>
  <c r="F165" i="29"/>
  <c r="F157" i="29"/>
  <c r="F155" i="29"/>
  <c r="H514" i="29"/>
  <c r="H486" i="29"/>
  <c r="F174" i="29"/>
  <c r="F176" i="29"/>
  <c r="F172" i="29"/>
  <c r="F173" i="29"/>
  <c r="F177" i="29"/>
  <c r="G168" i="29"/>
  <c r="G154" i="29"/>
  <c r="G140" i="29"/>
  <c r="H414" i="29"/>
  <c r="H516" i="29" s="1"/>
  <c r="H490" i="29"/>
  <c r="I448" i="29"/>
  <c r="J532" i="29"/>
  <c r="J530" i="29"/>
  <c r="K437" i="29"/>
  <c r="K438" i="29"/>
  <c r="K529" i="29" s="1"/>
  <c r="K442" i="29"/>
  <c r="K434" i="29"/>
  <c r="K441" i="29"/>
  <c r="E415" i="29"/>
  <c r="K435" i="29"/>
  <c r="J227" i="29"/>
  <c r="J447" i="29" s="1"/>
  <c r="J446" i="29"/>
  <c r="M287" i="29"/>
  <c r="M317" i="29" s="1"/>
  <c r="M432" i="29"/>
  <c r="K439" i="29"/>
  <c r="K443" i="29"/>
  <c r="K445" i="29"/>
  <c r="L211" i="29"/>
  <c r="L206" i="29"/>
  <c r="L208" i="29"/>
  <c r="L209" i="29"/>
  <c r="L210" i="29"/>
  <c r="L202" i="29"/>
  <c r="L204" i="29"/>
  <c r="L203" i="29"/>
  <c r="L205" i="29"/>
  <c r="L207" i="29"/>
  <c r="G21" i="29"/>
  <c r="L193" i="29"/>
  <c r="L191" i="29"/>
  <c r="L195" i="29"/>
  <c r="L197" i="29"/>
  <c r="L188" i="29"/>
  <c r="L189" i="29"/>
  <c r="L190" i="29"/>
  <c r="L194" i="29"/>
  <c r="L192" i="29"/>
  <c r="L196" i="29"/>
  <c r="M213" i="29"/>
  <c r="M199" i="29"/>
  <c r="M185" i="29"/>
  <c r="I379" i="29"/>
  <c r="I467" i="29" s="1"/>
  <c r="L312" i="29"/>
  <c r="L315" i="29"/>
  <c r="L314" i="29"/>
  <c r="L310" i="29"/>
  <c r="L306" i="29"/>
  <c r="L309" i="29"/>
  <c r="L311" i="29"/>
  <c r="L307" i="29"/>
  <c r="L308" i="29"/>
  <c r="L313" i="29"/>
  <c r="E164" i="29"/>
  <c r="E163" i="29"/>
  <c r="E157" i="29"/>
  <c r="E166" i="29"/>
  <c r="E161" i="29"/>
  <c r="E165" i="29"/>
  <c r="E158" i="29"/>
  <c r="E162" i="29"/>
  <c r="E159" i="29"/>
  <c r="E160" i="29"/>
  <c r="L301" i="29"/>
  <c r="L296" i="29"/>
  <c r="L294" i="29"/>
  <c r="L300" i="29"/>
  <c r="L293" i="29"/>
  <c r="L292" i="29"/>
  <c r="E151" i="29"/>
  <c r="E144" i="29"/>
  <c r="E143" i="29"/>
  <c r="E147" i="29"/>
  <c r="E146" i="29"/>
  <c r="E152" i="29"/>
  <c r="E148" i="29"/>
  <c r="E145" i="29"/>
  <c r="E150" i="29"/>
  <c r="E149" i="29"/>
  <c r="L320" i="29"/>
  <c r="L324" i="29"/>
  <c r="L323" i="29"/>
  <c r="L322" i="29"/>
  <c r="L326" i="29"/>
  <c r="L329" i="29"/>
  <c r="L321" i="29"/>
  <c r="L328" i="29"/>
  <c r="L327" i="29"/>
  <c r="L325" i="29"/>
  <c r="E174" i="29"/>
  <c r="E176" i="29"/>
  <c r="E171" i="29"/>
  <c r="E177" i="29"/>
  <c r="E178" i="29"/>
  <c r="E179" i="29"/>
  <c r="E180" i="29"/>
  <c r="E172" i="29"/>
  <c r="E173" i="29"/>
  <c r="E175" i="29"/>
  <c r="H389" i="29"/>
  <c r="L216" i="29"/>
  <c r="L218" i="29"/>
  <c r="L217" i="29"/>
  <c r="L221" i="29"/>
  <c r="L220" i="29"/>
  <c r="L219" i="29"/>
  <c r="L225" i="29"/>
  <c r="L224" i="29"/>
  <c r="L223" i="29"/>
  <c r="L222" i="29"/>
  <c r="K330" i="29"/>
  <c r="K331" i="29" s="1"/>
  <c r="L305" i="29"/>
  <c r="L304" i="29"/>
  <c r="L318" i="29"/>
  <c r="L319" i="29"/>
  <c r="L290" i="29"/>
  <c r="L200" i="29"/>
  <c r="L201" i="29"/>
  <c r="E141" i="29"/>
  <c r="E142" i="29"/>
  <c r="K226" i="29"/>
  <c r="E170" i="29"/>
  <c r="E169" i="29"/>
  <c r="L215" i="29"/>
  <c r="L214" i="29"/>
  <c r="E156" i="29"/>
  <c r="E155" i="29"/>
  <c r="L187" i="29"/>
  <c r="L186" i="29"/>
  <c r="I31" i="29"/>
  <c r="H138" i="29"/>
  <c r="F561" i="29"/>
  <c r="H124" i="14"/>
  <c r="H119" i="14" s="1"/>
  <c r="I156" i="14"/>
  <c r="H156" i="14"/>
  <c r="G124" i="14"/>
  <c r="G119" i="14" s="1"/>
  <c r="F86" i="14"/>
  <c r="F87" i="14" s="1"/>
  <c r="F102" i="14" s="1"/>
  <c r="H545" i="29"/>
  <c r="E559" i="29"/>
  <c r="F559" i="29" s="1"/>
  <c r="D566" i="29"/>
  <c r="J76" i="14"/>
  <c r="J122" i="14" s="1"/>
  <c r="K75" i="14"/>
  <c r="K39" i="29"/>
  <c r="K505" i="29" s="1"/>
  <c r="K506" i="29" s="1"/>
  <c r="D555" i="29"/>
  <c r="G545" i="29"/>
  <c r="G212" i="14"/>
  <c r="I382" i="29"/>
  <c r="I470" i="29" s="1"/>
  <c r="I386" i="29"/>
  <c r="I474" i="29" s="1"/>
  <c r="I387" i="29"/>
  <c r="I475" i="29" s="1"/>
  <c r="I388" i="29"/>
  <c r="I476" i="29" s="1"/>
  <c r="I385" i="29"/>
  <c r="I473" i="29" s="1"/>
  <c r="I383" i="29"/>
  <c r="I471" i="29" s="1"/>
  <c r="AI33" i="29"/>
  <c r="I380" i="29"/>
  <c r="I468" i="29" s="1"/>
  <c r="I381" i="29"/>
  <c r="I469" i="29" s="1"/>
  <c r="H112" i="14"/>
  <c r="H42" i="14"/>
  <c r="H72" i="14" s="1"/>
  <c r="G112" i="14"/>
  <c r="G203" i="14"/>
  <c r="H8" i="29"/>
  <c r="I384" i="29"/>
  <c r="I472" i="29" s="1"/>
  <c r="I10" i="29"/>
  <c r="I202" i="14"/>
  <c r="I212" i="14" s="1"/>
  <c r="G42" i="14"/>
  <c r="G72" i="14" s="1"/>
  <c r="L190" i="14"/>
  <c r="L189" i="14"/>
  <c r="M193" i="14"/>
  <c r="M40" i="29" s="1"/>
  <c r="M194" i="14"/>
  <c r="M198" i="14"/>
  <c r="M197" i="14"/>
  <c r="F85" i="14"/>
  <c r="G86" i="14" s="1"/>
  <c r="O150" i="14"/>
  <c r="P149" i="14"/>
  <c r="I17" i="14"/>
  <c r="I203" i="14" s="1"/>
  <c r="H236" i="14" s="1"/>
  <c r="N36" i="29"/>
  <c r="J378" i="29"/>
  <c r="J466" i="29" s="1"/>
  <c r="K41" i="29"/>
  <c r="K22" i="29"/>
  <c r="K500" i="29" s="1"/>
  <c r="K391" i="29"/>
  <c r="K131" i="14"/>
  <c r="L82" i="14" s="1"/>
  <c r="M21" i="14"/>
  <c r="M11" i="29" s="1"/>
  <c r="K13" i="29"/>
  <c r="K20" i="14"/>
  <c r="K202" i="14" s="1"/>
  <c r="K9" i="29"/>
  <c r="J14" i="29"/>
  <c r="J22" i="14"/>
  <c r="J205" i="14" s="1"/>
  <c r="J10" i="29"/>
  <c r="J17" i="14"/>
  <c r="J203" i="14" s="1"/>
  <c r="I236" i="14" s="1"/>
  <c r="I113" i="14"/>
  <c r="I12" i="29"/>
  <c r="N183" i="29"/>
  <c r="F149" i="29" l="1"/>
  <c r="F141" i="29"/>
  <c r="F143" i="29"/>
  <c r="F179" i="29"/>
  <c r="F147" i="29"/>
  <c r="F169" i="29"/>
  <c r="F150" i="29"/>
  <c r="F170" i="29"/>
  <c r="F151" i="29"/>
  <c r="F426" i="29" s="1"/>
  <c r="F537" i="29" s="1"/>
  <c r="F178" i="29"/>
  <c r="F144" i="29"/>
  <c r="E232" i="14"/>
  <c r="D247" i="14"/>
  <c r="D249" i="14" s="1"/>
  <c r="E543" i="29" s="1"/>
  <c r="E544" i="29" s="1"/>
  <c r="F175" i="29"/>
  <c r="F171" i="29"/>
  <c r="F146" i="29"/>
  <c r="F142" i="29"/>
  <c r="F416" i="29" s="1"/>
  <c r="F152" i="29"/>
  <c r="F148" i="29"/>
  <c r="L295" i="29"/>
  <c r="L291" i="29"/>
  <c r="L434" i="29" s="1"/>
  <c r="L298" i="29"/>
  <c r="L297" i="29"/>
  <c r="K229" i="14"/>
  <c r="M289" i="29"/>
  <c r="M295" i="29" s="1"/>
  <c r="E18" i="29"/>
  <c r="E496" i="29" s="1"/>
  <c r="E519" i="29" s="1"/>
  <c r="E20" i="29"/>
  <c r="E498" i="29" s="1"/>
  <c r="E422" i="29"/>
  <c r="F422" i="29"/>
  <c r="E126" i="14"/>
  <c r="E128" i="14" s="1"/>
  <c r="F127" i="14" s="1"/>
  <c r="M303" i="29"/>
  <c r="M314" i="29" s="1"/>
  <c r="E526" i="29"/>
  <c r="F526" i="29"/>
  <c r="I539" i="29"/>
  <c r="G42" i="29"/>
  <c r="G499" i="29"/>
  <c r="G150" i="29"/>
  <c r="G142" i="29"/>
  <c r="G146" i="29"/>
  <c r="G148" i="29"/>
  <c r="G151" i="29"/>
  <c r="G149" i="29"/>
  <c r="G145" i="29"/>
  <c r="G147" i="29"/>
  <c r="G152" i="29"/>
  <c r="G143" i="29"/>
  <c r="G144" i="29"/>
  <c r="G141" i="29"/>
  <c r="G155" i="29"/>
  <c r="G158" i="29"/>
  <c r="G165" i="29"/>
  <c r="G157" i="29"/>
  <c r="G160" i="29"/>
  <c r="G166" i="29"/>
  <c r="G159" i="29"/>
  <c r="G162" i="29"/>
  <c r="G161" i="29"/>
  <c r="G156" i="29"/>
  <c r="G163" i="29"/>
  <c r="G164" i="29"/>
  <c r="G176" i="29"/>
  <c r="G173" i="29"/>
  <c r="G180" i="29"/>
  <c r="G177" i="29"/>
  <c r="G174" i="29"/>
  <c r="G170" i="29"/>
  <c r="G169" i="29"/>
  <c r="G175" i="29"/>
  <c r="G178" i="29"/>
  <c r="G172" i="29"/>
  <c r="G171" i="29"/>
  <c r="G179" i="29"/>
  <c r="H513" i="29"/>
  <c r="H485" i="29"/>
  <c r="H484" i="29" s="1"/>
  <c r="H168" i="29"/>
  <c r="H154" i="29"/>
  <c r="H140" i="29"/>
  <c r="L436" i="29"/>
  <c r="I514" i="29"/>
  <c r="I486" i="29"/>
  <c r="L435" i="29"/>
  <c r="I414" i="29"/>
  <c r="I516" i="29" s="1"/>
  <c r="I490" i="29"/>
  <c r="K532" i="29"/>
  <c r="K530" i="29"/>
  <c r="E497" i="29"/>
  <c r="E421" i="29"/>
  <c r="J448" i="29"/>
  <c r="L444" i="29"/>
  <c r="E424" i="29"/>
  <c r="E535" i="29" s="1"/>
  <c r="E419" i="29"/>
  <c r="E546" i="29" s="1"/>
  <c r="E560" i="29" s="1"/>
  <c r="E416" i="29"/>
  <c r="F421" i="29"/>
  <c r="L445" i="29"/>
  <c r="K227" i="29"/>
  <c r="K447" i="29" s="1"/>
  <c r="K446" i="29"/>
  <c r="E417" i="29"/>
  <c r="E418" i="29"/>
  <c r="F418" i="29"/>
  <c r="F427" i="29"/>
  <c r="F538" i="29" s="1"/>
  <c r="L443" i="29"/>
  <c r="L439" i="29"/>
  <c r="F420" i="29"/>
  <c r="L440" i="29"/>
  <c r="L441" i="29"/>
  <c r="F425" i="29"/>
  <c r="F536" i="29" s="1"/>
  <c r="N287" i="29"/>
  <c r="N317" i="29" s="1"/>
  <c r="N432" i="29"/>
  <c r="E426" i="29"/>
  <c r="E537" i="29" s="1"/>
  <c r="E420" i="29"/>
  <c r="L442" i="29"/>
  <c r="F423" i="29"/>
  <c r="H390" i="29"/>
  <c r="H477" i="29" s="1"/>
  <c r="H478" i="29"/>
  <c r="E423" i="29"/>
  <c r="E534" i="29" s="1"/>
  <c r="F424" i="29"/>
  <c r="F535" i="29" s="1"/>
  <c r="L438" i="29"/>
  <c r="L529" i="29" s="1"/>
  <c r="G415" i="29"/>
  <c r="F417" i="29"/>
  <c r="E425" i="29"/>
  <c r="E536" i="29" s="1"/>
  <c r="E427" i="29"/>
  <c r="E538" i="29" s="1"/>
  <c r="F419" i="29"/>
  <c r="L437" i="29"/>
  <c r="M315" i="29"/>
  <c r="M225" i="29"/>
  <c r="M222" i="29"/>
  <c r="M219" i="29"/>
  <c r="M221" i="29"/>
  <c r="M220" i="29"/>
  <c r="M218" i="29"/>
  <c r="M216" i="29"/>
  <c r="M217" i="29"/>
  <c r="M223" i="29"/>
  <c r="M224" i="29"/>
  <c r="M329" i="29"/>
  <c r="M327" i="29"/>
  <c r="M322" i="29"/>
  <c r="M328" i="29"/>
  <c r="M325" i="29"/>
  <c r="M323" i="29"/>
  <c r="M320" i="29"/>
  <c r="M326" i="29"/>
  <c r="M321" i="29"/>
  <c r="M324" i="29"/>
  <c r="N213" i="29"/>
  <c r="N199" i="29"/>
  <c r="N185" i="29"/>
  <c r="I549" i="29"/>
  <c r="I389" i="29"/>
  <c r="M194" i="29"/>
  <c r="M192" i="29"/>
  <c r="M193" i="29"/>
  <c r="M189" i="29"/>
  <c r="M197" i="29"/>
  <c r="M190" i="29"/>
  <c r="M188" i="29"/>
  <c r="M191" i="29"/>
  <c r="M195" i="29"/>
  <c r="M196" i="29"/>
  <c r="H21" i="29"/>
  <c r="H499" i="29" s="1"/>
  <c r="M211" i="29"/>
  <c r="M207" i="29"/>
  <c r="M209" i="29"/>
  <c r="M210" i="29"/>
  <c r="M202" i="29"/>
  <c r="M203" i="29"/>
  <c r="M205" i="29"/>
  <c r="M208" i="29"/>
  <c r="M206" i="29"/>
  <c r="M204" i="29"/>
  <c r="L330" i="29"/>
  <c r="L331" i="29" s="1"/>
  <c r="M318" i="29"/>
  <c r="M319" i="29"/>
  <c r="M214" i="29"/>
  <c r="M215" i="29"/>
  <c r="M187" i="29"/>
  <c r="M186" i="29"/>
  <c r="L226" i="29"/>
  <c r="M201" i="29"/>
  <c r="M200" i="29"/>
  <c r="E181" i="29"/>
  <c r="J31" i="29"/>
  <c r="I138" i="29"/>
  <c r="F181" i="29"/>
  <c r="G81" i="14"/>
  <c r="G85" i="14" s="1"/>
  <c r="H86" i="14" s="1"/>
  <c r="G231" i="14"/>
  <c r="G559" i="29"/>
  <c r="H559" i="29" s="1"/>
  <c r="G547" i="29"/>
  <c r="G561" i="29" s="1"/>
  <c r="K76" i="14"/>
  <c r="L75" i="14"/>
  <c r="L39" i="29"/>
  <c r="L505" i="29" s="1"/>
  <c r="L506" i="29" s="1"/>
  <c r="H547" i="29"/>
  <c r="F236" i="14"/>
  <c r="E141" i="14"/>
  <c r="E142" i="14" s="1"/>
  <c r="F140" i="14"/>
  <c r="J386" i="29"/>
  <c r="J474" i="29" s="1"/>
  <c r="J387" i="29"/>
  <c r="J475" i="29" s="1"/>
  <c r="J388" i="29"/>
  <c r="J476" i="29" s="1"/>
  <c r="J385" i="29"/>
  <c r="J473" i="29" s="1"/>
  <c r="AI228" i="29"/>
  <c r="F104" i="14"/>
  <c r="F17" i="29" s="1"/>
  <c r="H81" i="14"/>
  <c r="N197" i="14"/>
  <c r="N198" i="14"/>
  <c r="N194" i="14"/>
  <c r="N193" i="14"/>
  <c r="N40" i="29" s="1"/>
  <c r="M190" i="14"/>
  <c r="M189" i="14"/>
  <c r="I42" i="14"/>
  <c r="I72" i="14" s="1"/>
  <c r="J42" i="14"/>
  <c r="J72" i="14" s="1"/>
  <c r="F101" i="14"/>
  <c r="F88" i="14"/>
  <c r="G89" i="14" s="1"/>
  <c r="Q149" i="14"/>
  <c r="P150" i="14"/>
  <c r="I8" i="29"/>
  <c r="I112" i="14"/>
  <c r="H549" i="29"/>
  <c r="H563" i="29" s="1"/>
  <c r="J382" i="29"/>
  <c r="J470" i="29" s="1"/>
  <c r="J381" i="29"/>
  <c r="J469" i="29" s="1"/>
  <c r="J383" i="29"/>
  <c r="J471" i="29" s="1"/>
  <c r="J384" i="29"/>
  <c r="J472" i="29" s="1"/>
  <c r="O36" i="29"/>
  <c r="AI273" i="29"/>
  <c r="AI449" i="29" s="1"/>
  <c r="AI36" i="29"/>
  <c r="AI432" i="29" s="1"/>
  <c r="AI332" i="29"/>
  <c r="AI183" i="29"/>
  <c r="K378" i="29"/>
  <c r="K466" i="29" s="1"/>
  <c r="J156" i="14"/>
  <c r="J380" i="29"/>
  <c r="J468" i="29" s="1"/>
  <c r="J379" i="29"/>
  <c r="J467" i="29" s="1"/>
  <c r="L131" i="14"/>
  <c r="M82" i="14" s="1"/>
  <c r="L41" i="29"/>
  <c r="L22" i="29"/>
  <c r="L500" i="29" s="1"/>
  <c r="L391" i="29"/>
  <c r="N21" i="14"/>
  <c r="N11" i="29" s="1"/>
  <c r="AI11" i="29" s="1"/>
  <c r="K17" i="14"/>
  <c r="K203" i="14" s="1"/>
  <c r="J236" i="14" s="1"/>
  <c r="K10" i="29"/>
  <c r="K14" i="29"/>
  <c r="K22" i="14"/>
  <c r="K205" i="14" s="1"/>
  <c r="J112" i="14"/>
  <c r="J8" i="29"/>
  <c r="J485" i="29" s="1"/>
  <c r="J212" i="14"/>
  <c r="J12" i="29"/>
  <c r="J113" i="14"/>
  <c r="L20" i="14"/>
  <c r="L202" i="14" s="1"/>
  <c r="L9" i="29"/>
  <c r="L13" i="29"/>
  <c r="O183" i="29"/>
  <c r="M290" i="29" l="1"/>
  <c r="M297" i="29"/>
  <c r="M300" i="29"/>
  <c r="F428" i="29"/>
  <c r="F182" i="29"/>
  <c r="F429" i="29" s="1"/>
  <c r="F517" i="29" s="1"/>
  <c r="E428" i="29"/>
  <c r="E182" i="29"/>
  <c r="E429" i="29" s="1"/>
  <c r="E517" i="29" s="1"/>
  <c r="F521" i="29"/>
  <c r="G416" i="29"/>
  <c r="M291" i="29"/>
  <c r="M292" i="29"/>
  <c r="M296" i="29"/>
  <c r="M433" i="29"/>
  <c r="M301" i="29"/>
  <c r="M445" i="29" s="1"/>
  <c r="M298" i="29"/>
  <c r="M294" i="29"/>
  <c r="M299" i="29"/>
  <c r="M293" i="29"/>
  <c r="M307" i="29"/>
  <c r="H42" i="29"/>
  <c r="M305" i="29"/>
  <c r="M308" i="29"/>
  <c r="M311" i="29"/>
  <c r="M441" i="29" s="1"/>
  <c r="M306" i="29"/>
  <c r="M304" i="29"/>
  <c r="M435" i="29" s="1"/>
  <c r="M312" i="29"/>
  <c r="M310" i="29"/>
  <c r="M309" i="29"/>
  <c r="M313" i="29"/>
  <c r="AI287" i="29"/>
  <c r="N289" i="29"/>
  <c r="N300" i="29" s="1"/>
  <c r="L76" i="14"/>
  <c r="L122" i="14" s="1"/>
  <c r="K122" i="14"/>
  <c r="K156" i="14" s="1"/>
  <c r="E23" i="29"/>
  <c r="F18" i="29"/>
  <c r="F496" i="29" s="1"/>
  <c r="F20" i="29"/>
  <c r="F498" i="29" s="1"/>
  <c r="F19" i="29"/>
  <c r="J539" i="29"/>
  <c r="G526" i="29"/>
  <c r="E533" i="29"/>
  <c r="E548" i="29" s="1"/>
  <c r="E562" i="29" s="1"/>
  <c r="N303" i="29"/>
  <c r="H176" i="29"/>
  <c r="H178" i="29"/>
  <c r="H175" i="29"/>
  <c r="H169" i="29"/>
  <c r="H170" i="29"/>
  <c r="H179" i="29"/>
  <c r="H173" i="29"/>
  <c r="H177" i="29"/>
  <c r="H171" i="29"/>
  <c r="H180" i="29"/>
  <c r="H172" i="29"/>
  <c r="H174" i="29"/>
  <c r="I513" i="29"/>
  <c r="I485" i="29"/>
  <c r="I484" i="29" s="1"/>
  <c r="J514" i="29"/>
  <c r="J486" i="29"/>
  <c r="J484" i="29" s="1"/>
  <c r="I140" i="29"/>
  <c r="I168" i="29"/>
  <c r="I154" i="29"/>
  <c r="H415" i="29"/>
  <c r="E488" i="29"/>
  <c r="E501" i="29" s="1"/>
  <c r="J414" i="29"/>
  <c r="J516" i="29" s="1"/>
  <c r="J490" i="29"/>
  <c r="E521" i="29"/>
  <c r="H146" i="29"/>
  <c r="H141" i="29"/>
  <c r="H150" i="29"/>
  <c r="H143" i="29"/>
  <c r="H142" i="29"/>
  <c r="H149" i="29"/>
  <c r="H147" i="29"/>
  <c r="H144" i="29"/>
  <c r="H148" i="29"/>
  <c r="H145" i="29"/>
  <c r="H151" i="29"/>
  <c r="H152" i="29"/>
  <c r="H163" i="29"/>
  <c r="H157" i="29"/>
  <c r="H166" i="29"/>
  <c r="H162" i="29"/>
  <c r="H159" i="29"/>
  <c r="H156" i="29"/>
  <c r="H165" i="29"/>
  <c r="H155" i="29"/>
  <c r="H158" i="29"/>
  <c r="H164" i="29"/>
  <c r="H160" i="29"/>
  <c r="H161" i="29"/>
  <c r="L532" i="29"/>
  <c r="L530" i="29"/>
  <c r="G420" i="29"/>
  <c r="K448" i="29"/>
  <c r="J21" i="29"/>
  <c r="J499" i="29" s="1"/>
  <c r="J513" i="29"/>
  <c r="M439" i="29"/>
  <c r="G427" i="29"/>
  <c r="G538" i="29" s="1"/>
  <c r="G417" i="29"/>
  <c r="G426" i="29"/>
  <c r="G537" i="29" s="1"/>
  <c r="G419" i="29"/>
  <c r="G421" i="29"/>
  <c r="M444" i="29"/>
  <c r="M440" i="29"/>
  <c r="I390" i="29"/>
  <c r="I477" i="29" s="1"/>
  <c r="I479" i="29" s="1"/>
  <c r="I478" i="29"/>
  <c r="G425" i="29"/>
  <c r="G536" i="29" s="1"/>
  <c r="G418" i="29"/>
  <c r="O287" i="29"/>
  <c r="O289" i="29" s="1"/>
  <c r="O432" i="29"/>
  <c r="L227" i="29"/>
  <c r="L447" i="29" s="1"/>
  <c r="L446" i="29"/>
  <c r="G424" i="29"/>
  <c r="G535" i="29" s="1"/>
  <c r="H479" i="29"/>
  <c r="G423" i="29"/>
  <c r="G422" i="29"/>
  <c r="N195" i="29"/>
  <c r="N193" i="29"/>
  <c r="N197" i="29"/>
  <c r="N192" i="29"/>
  <c r="N196" i="29"/>
  <c r="N194" i="29"/>
  <c r="N188" i="29"/>
  <c r="AI188" i="29" s="1"/>
  <c r="N190" i="29"/>
  <c r="N189" i="29"/>
  <c r="AI189" i="29" s="1"/>
  <c r="N191" i="29"/>
  <c r="AI191" i="29" s="1"/>
  <c r="N211" i="29"/>
  <c r="N208" i="29"/>
  <c r="N210" i="29"/>
  <c r="N202" i="29"/>
  <c r="AI202" i="29" s="1"/>
  <c r="N203" i="29"/>
  <c r="AI203" i="29" s="1"/>
  <c r="N204" i="29"/>
  <c r="AI204" i="29" s="1"/>
  <c r="N206" i="29"/>
  <c r="AI206" i="29" s="1"/>
  <c r="N205" i="29"/>
  <c r="AI205" i="29" s="1"/>
  <c r="N207" i="29"/>
  <c r="N209" i="29"/>
  <c r="I21" i="29"/>
  <c r="N313" i="29"/>
  <c r="N312" i="29"/>
  <c r="N308" i="29"/>
  <c r="N309" i="29"/>
  <c r="N314" i="29"/>
  <c r="N306" i="29"/>
  <c r="N315" i="29"/>
  <c r="N307" i="29"/>
  <c r="N310" i="29"/>
  <c r="N311" i="29"/>
  <c r="N224" i="29"/>
  <c r="N220" i="29"/>
  <c r="AI220" i="29" s="1"/>
  <c r="N225" i="29"/>
  <c r="N219" i="29"/>
  <c r="AI219" i="29" s="1"/>
  <c r="N221" i="29"/>
  <c r="N216" i="29"/>
  <c r="AI216" i="29" s="1"/>
  <c r="N223" i="29"/>
  <c r="N222" i="29"/>
  <c r="N217" i="29"/>
  <c r="AI217" i="29" s="1"/>
  <c r="N218" i="29"/>
  <c r="AI218" i="29" s="1"/>
  <c r="N294" i="29"/>
  <c r="J389" i="29"/>
  <c r="N329" i="29"/>
  <c r="N324" i="29"/>
  <c r="N320" i="29"/>
  <c r="N327" i="29"/>
  <c r="N328" i="29"/>
  <c r="N323" i="29"/>
  <c r="N325" i="29"/>
  <c r="N321" i="29"/>
  <c r="N326" i="29"/>
  <c r="N322" i="29"/>
  <c r="O199" i="29"/>
  <c r="O185" i="29"/>
  <c r="O213" i="29"/>
  <c r="N318" i="29"/>
  <c r="N319" i="29"/>
  <c r="N305" i="29"/>
  <c r="N304" i="29"/>
  <c r="K31" i="29"/>
  <c r="J138" i="29"/>
  <c r="N215" i="29"/>
  <c r="AI215" i="29" s="1"/>
  <c r="N214" i="29"/>
  <c r="AI214" i="29" s="1"/>
  <c r="G181" i="29"/>
  <c r="N186" i="29"/>
  <c r="N187" i="29"/>
  <c r="AI187" i="29" s="1"/>
  <c r="N201" i="29"/>
  <c r="AI201" i="29" s="1"/>
  <c r="N200" i="29"/>
  <c r="AI200" i="29" s="1"/>
  <c r="M226" i="29"/>
  <c r="G84" i="14"/>
  <c r="G90" i="14" s="1"/>
  <c r="G87" i="14" s="1"/>
  <c r="G102" i="14" s="1"/>
  <c r="G104" i="14" s="1"/>
  <c r="G83" i="14" s="1"/>
  <c r="J124" i="14"/>
  <c r="J119" i="14" s="1"/>
  <c r="L229" i="14"/>
  <c r="I563" i="29"/>
  <c r="H561" i="29"/>
  <c r="AI40" i="29"/>
  <c r="M75" i="14"/>
  <c r="M39" i="29"/>
  <c r="M505" i="29" s="1"/>
  <c r="M506" i="29" s="1"/>
  <c r="I545" i="29"/>
  <c r="I559" i="29" s="1"/>
  <c r="F546" i="29"/>
  <c r="F560" i="29" s="1"/>
  <c r="K387" i="29"/>
  <c r="K475" i="29" s="1"/>
  <c r="K388" i="29"/>
  <c r="K476" i="29" s="1"/>
  <c r="K386" i="29"/>
  <c r="K474" i="29" s="1"/>
  <c r="K385" i="29"/>
  <c r="K473" i="29" s="1"/>
  <c r="I547" i="29"/>
  <c r="AI242" i="29"/>
  <c r="AI238" i="29"/>
  <c r="AI235" i="29"/>
  <c r="AI241" i="29"/>
  <c r="AI233" i="29"/>
  <c r="AI237" i="29"/>
  <c r="AI234" i="29"/>
  <c r="AI239" i="29"/>
  <c r="AI240" i="29"/>
  <c r="AI236" i="29"/>
  <c r="AI266" i="29"/>
  <c r="AI268" i="29"/>
  <c r="AI263" i="29"/>
  <c r="AI264" i="29"/>
  <c r="AI265" i="29"/>
  <c r="AI267" i="29"/>
  <c r="AI269" i="29"/>
  <c r="AI261" i="29"/>
  <c r="AI270" i="29"/>
  <c r="AI262" i="29"/>
  <c r="AI250" i="29"/>
  <c r="AI256" i="29"/>
  <c r="AI252" i="29"/>
  <c r="AI247" i="29"/>
  <c r="AI248" i="29"/>
  <c r="AI249" i="29"/>
  <c r="AI255" i="29"/>
  <c r="AI251" i="29"/>
  <c r="AI254" i="29"/>
  <c r="AI253" i="29"/>
  <c r="AI260" i="29"/>
  <c r="AI259" i="29"/>
  <c r="AI258" i="29"/>
  <c r="AI232" i="29"/>
  <c r="AI231" i="29"/>
  <c r="AI230" i="29"/>
  <c r="AI246" i="29"/>
  <c r="AI245" i="29"/>
  <c r="AI244" i="29"/>
  <c r="F83" i="14"/>
  <c r="D250" i="14"/>
  <c r="F155" i="14"/>
  <c r="F157" i="14" s="1"/>
  <c r="H85" i="14"/>
  <c r="I86" i="14" s="1"/>
  <c r="H84" i="14"/>
  <c r="F103" i="14"/>
  <c r="N190" i="14"/>
  <c r="N189" i="14"/>
  <c r="O194" i="14"/>
  <c r="O193" i="14"/>
  <c r="O40" i="29" s="1"/>
  <c r="O197" i="14"/>
  <c r="O198" i="14"/>
  <c r="K42" i="14"/>
  <c r="K72" i="14" s="1"/>
  <c r="I81" i="14"/>
  <c r="I85" i="14" s="1"/>
  <c r="J86" i="14" s="1"/>
  <c r="R149" i="14"/>
  <c r="Q150" i="14"/>
  <c r="AI336" i="29"/>
  <c r="AI335" i="29"/>
  <c r="AI364" i="29"/>
  <c r="AI363" i="29"/>
  <c r="AI349" i="29"/>
  <c r="AI350" i="29"/>
  <c r="K382" i="29"/>
  <c r="K470" i="29" s="1"/>
  <c r="K381" i="29"/>
  <c r="K469" i="29" s="1"/>
  <c r="AI368" i="29"/>
  <c r="AI369" i="29"/>
  <c r="AI367" i="29"/>
  <c r="AI353" i="29"/>
  <c r="AI354" i="29"/>
  <c r="AI355" i="29"/>
  <c r="AI340" i="29"/>
  <c r="AI341" i="29"/>
  <c r="AI339" i="29"/>
  <c r="K384" i="29"/>
  <c r="K472" i="29" s="1"/>
  <c r="K383" i="29"/>
  <c r="K471" i="29" s="1"/>
  <c r="AI284" i="29"/>
  <c r="AI460" i="29" s="1"/>
  <c r="P36" i="29"/>
  <c r="AI334" i="29"/>
  <c r="AI348" i="29"/>
  <c r="AI362" i="29"/>
  <c r="AI213" i="29"/>
  <c r="AI185" i="29"/>
  <c r="AI199" i="29"/>
  <c r="AI47" i="29"/>
  <c r="AI92" i="29"/>
  <c r="K380" i="29"/>
  <c r="K468" i="29" s="1"/>
  <c r="K379" i="29"/>
  <c r="K467" i="29" s="1"/>
  <c r="M41" i="29"/>
  <c r="M22" i="29"/>
  <c r="M500" i="29" s="1"/>
  <c r="M391" i="29"/>
  <c r="M131" i="14"/>
  <c r="N82" i="14" s="1"/>
  <c r="L378" i="29"/>
  <c r="L466" i="29" s="1"/>
  <c r="I124" i="14"/>
  <c r="I119" i="14" s="1"/>
  <c r="I231" i="14"/>
  <c r="O21" i="14"/>
  <c r="O11" i="29" s="1"/>
  <c r="M9" i="29"/>
  <c r="M20" i="14"/>
  <c r="M202" i="14" s="1"/>
  <c r="K212" i="14"/>
  <c r="L14" i="29"/>
  <c r="L22" i="14"/>
  <c r="L205" i="14" s="1"/>
  <c r="L17" i="14"/>
  <c r="L203" i="14" s="1"/>
  <c r="K236" i="14" s="1"/>
  <c r="L10" i="29"/>
  <c r="K12" i="29"/>
  <c r="K113" i="14"/>
  <c r="M13" i="29"/>
  <c r="K112" i="14"/>
  <c r="K8" i="29"/>
  <c r="P183" i="29"/>
  <c r="N296" i="29" l="1"/>
  <c r="N291" i="29"/>
  <c r="N298" i="29"/>
  <c r="N433" i="29"/>
  <c r="N292" i="29"/>
  <c r="N290" i="29"/>
  <c r="N297" i="29"/>
  <c r="N299" i="29"/>
  <c r="N301" i="29"/>
  <c r="N445" i="29" s="1"/>
  <c r="AI445" i="29" s="1"/>
  <c r="E430" i="29"/>
  <c r="N295" i="29"/>
  <c r="N293" i="29"/>
  <c r="N437" i="29" s="1"/>
  <c r="G521" i="29"/>
  <c r="H423" i="29"/>
  <c r="M436" i="29"/>
  <c r="M437" i="29"/>
  <c r="G428" i="29"/>
  <c r="G182" i="29"/>
  <c r="G429" i="29" s="1"/>
  <c r="G517" i="29" s="1"/>
  <c r="M434" i="29"/>
  <c r="F430" i="29"/>
  <c r="M438" i="29"/>
  <c r="M529" i="29" s="1"/>
  <c r="M443" i="29"/>
  <c r="M330" i="29"/>
  <c r="M331" i="29" s="1"/>
  <c r="O303" i="29"/>
  <c r="M442" i="29"/>
  <c r="J42" i="29"/>
  <c r="M229" i="14"/>
  <c r="K539" i="29"/>
  <c r="O317" i="29"/>
  <c r="O329" i="29" s="1"/>
  <c r="I162" i="29"/>
  <c r="I156" i="29"/>
  <c r="I164" i="29"/>
  <c r="I161" i="29"/>
  <c r="I160" i="29"/>
  <c r="I165" i="29"/>
  <c r="I159" i="29"/>
  <c r="I155" i="29"/>
  <c r="I163" i="29"/>
  <c r="I166" i="29"/>
  <c r="I158" i="29"/>
  <c r="I157" i="29"/>
  <c r="K514" i="29"/>
  <c r="K486" i="29"/>
  <c r="K513" i="29"/>
  <c r="K485" i="29"/>
  <c r="K414" i="29"/>
  <c r="K516" i="29" s="1"/>
  <c r="K490" i="29"/>
  <c r="I172" i="29"/>
  <c r="I170" i="29"/>
  <c r="I178" i="29"/>
  <c r="I169" i="29"/>
  <c r="I175" i="29"/>
  <c r="I177" i="29"/>
  <c r="I171" i="29"/>
  <c r="I180" i="29"/>
  <c r="I174" i="29"/>
  <c r="I176" i="29"/>
  <c r="I179" i="29"/>
  <c r="I173" i="29"/>
  <c r="J168" i="29"/>
  <c r="J140" i="29"/>
  <c r="J154" i="29"/>
  <c r="N442" i="29"/>
  <c r="I152" i="29"/>
  <c r="I151" i="29"/>
  <c r="I145" i="29"/>
  <c r="I146" i="29"/>
  <c r="I144" i="29"/>
  <c r="I142" i="29"/>
  <c r="I148" i="29"/>
  <c r="I147" i="29"/>
  <c r="I143" i="29"/>
  <c r="I150" i="29"/>
  <c r="I141" i="29"/>
  <c r="I149" i="29"/>
  <c r="I42" i="29"/>
  <c r="I499" i="29"/>
  <c r="N435" i="29"/>
  <c r="AI435" i="29" s="1"/>
  <c r="H526" i="29"/>
  <c r="L448" i="29"/>
  <c r="M532" i="29"/>
  <c r="M530" i="29"/>
  <c r="F534" i="29"/>
  <c r="F497" i="29"/>
  <c r="F488" i="29" s="1"/>
  <c r="F501" i="29" s="1"/>
  <c r="F507" i="29" s="1"/>
  <c r="E507" i="29"/>
  <c r="H424" i="29"/>
  <c r="H535" i="29" s="1"/>
  <c r="N434" i="29"/>
  <c r="AI434" i="29" s="1"/>
  <c r="F519" i="29"/>
  <c r="AI186" i="29"/>
  <c r="H420" i="29"/>
  <c r="M227" i="29"/>
  <c r="M446" i="29"/>
  <c r="N439" i="29"/>
  <c r="N441" i="29"/>
  <c r="AI441" i="29" s="1"/>
  <c r="J390" i="29"/>
  <c r="J477" i="29" s="1"/>
  <c r="J478" i="29"/>
  <c r="N443" i="29"/>
  <c r="H421" i="29"/>
  <c r="O433" i="29"/>
  <c r="N438" i="29"/>
  <c r="H426" i="29"/>
  <c r="H537" i="29" s="1"/>
  <c r="H418" i="29"/>
  <c r="N436" i="29"/>
  <c r="AI436" i="29" s="1"/>
  <c r="H425" i="29"/>
  <c r="H536" i="29" s="1"/>
  <c r="H427" i="29"/>
  <c r="H538" i="29" s="1"/>
  <c r="H416" i="29"/>
  <c r="N444" i="29"/>
  <c r="AI444" i="29" s="1"/>
  <c r="H422" i="29"/>
  <c r="P287" i="29"/>
  <c r="P303" i="29" s="1"/>
  <c r="P432" i="29"/>
  <c r="H417" i="29"/>
  <c r="I415" i="29"/>
  <c r="N440" i="29"/>
  <c r="AI440" i="29" s="1"/>
  <c r="H419" i="29"/>
  <c r="K21" i="29"/>
  <c r="O225" i="29"/>
  <c r="O224" i="29"/>
  <c r="O217" i="29"/>
  <c r="O223" i="29"/>
  <c r="O218" i="29"/>
  <c r="O220" i="29"/>
  <c r="O219" i="29"/>
  <c r="O221" i="29"/>
  <c r="O222" i="29"/>
  <c r="O216" i="29"/>
  <c r="O196" i="29"/>
  <c r="O194" i="29"/>
  <c r="O189" i="29"/>
  <c r="O195" i="29"/>
  <c r="O191" i="29"/>
  <c r="O188" i="29"/>
  <c r="O192" i="29"/>
  <c r="O190" i="29"/>
  <c r="O193" i="29"/>
  <c r="O197" i="29"/>
  <c r="K389" i="29"/>
  <c r="O211" i="29"/>
  <c r="O209" i="29"/>
  <c r="O203" i="29"/>
  <c r="O204" i="29"/>
  <c r="O205" i="29"/>
  <c r="O207" i="29"/>
  <c r="O210" i="29"/>
  <c r="O202" i="29"/>
  <c r="O208" i="29"/>
  <c r="O206" i="29"/>
  <c r="O313" i="29"/>
  <c r="O309" i="29"/>
  <c r="O307" i="29"/>
  <c r="O306" i="29"/>
  <c r="O308" i="29"/>
  <c r="O314" i="29"/>
  <c r="O312" i="29"/>
  <c r="O310" i="29"/>
  <c r="O315" i="29"/>
  <c r="O311" i="29"/>
  <c r="O300" i="29"/>
  <c r="O293" i="29"/>
  <c r="O298" i="29"/>
  <c r="O297" i="29"/>
  <c r="O295" i="29"/>
  <c r="O294" i="29"/>
  <c r="O296" i="29"/>
  <c r="O292" i="29"/>
  <c r="O301" i="29"/>
  <c r="O299" i="29"/>
  <c r="P213" i="29"/>
  <c r="P185" i="29"/>
  <c r="P199" i="29"/>
  <c r="O305" i="29"/>
  <c r="O304" i="29"/>
  <c r="O291" i="29"/>
  <c r="O290" i="29"/>
  <c r="N226" i="29"/>
  <c r="N330" i="29"/>
  <c r="N331" i="29" s="1"/>
  <c r="H181" i="29"/>
  <c r="O214" i="29"/>
  <c r="O215" i="29"/>
  <c r="O187" i="29"/>
  <c r="O186" i="29"/>
  <c r="L31" i="29"/>
  <c r="K138" i="29"/>
  <c r="O200" i="29"/>
  <c r="O201" i="29"/>
  <c r="AI96" i="29"/>
  <c r="AI110" i="29"/>
  <c r="AI303" i="29"/>
  <c r="AI319" i="29"/>
  <c r="AI318" i="29"/>
  <c r="G105" i="14"/>
  <c r="G228" i="14"/>
  <c r="F117" i="14"/>
  <c r="F111" i="14" s="1"/>
  <c r="F126" i="14" s="1"/>
  <c r="F128" i="14" s="1"/>
  <c r="G127" i="14" s="1"/>
  <c r="F228" i="14"/>
  <c r="J81" i="14"/>
  <c r="J84" i="14" s="1"/>
  <c r="J231" i="14"/>
  <c r="M76" i="14"/>
  <c r="M122" i="14" s="1"/>
  <c r="M156" i="14" s="1"/>
  <c r="I561" i="29"/>
  <c r="N75" i="14"/>
  <c r="N39" i="29"/>
  <c r="N505" i="29" s="1"/>
  <c r="AI290" i="29"/>
  <c r="G546" i="29"/>
  <c r="G560" i="29" s="1"/>
  <c r="J545" i="29"/>
  <c r="J559" i="29" s="1"/>
  <c r="AI317" i="29"/>
  <c r="G88" i="14"/>
  <c r="H89" i="14" s="1"/>
  <c r="G91" i="14"/>
  <c r="H92" i="14" s="1"/>
  <c r="H93" i="14" s="1"/>
  <c r="AI305" i="29"/>
  <c r="AI304" i="29"/>
  <c r="AI289" i="29"/>
  <c r="AI291" i="29"/>
  <c r="L387" i="29"/>
  <c r="L475" i="29" s="1"/>
  <c r="L388" i="29"/>
  <c r="L476" i="29" s="1"/>
  <c r="L385" i="29"/>
  <c r="L473" i="29" s="1"/>
  <c r="L386" i="29"/>
  <c r="L474" i="29" s="1"/>
  <c r="F23" i="29"/>
  <c r="AI301" i="29"/>
  <c r="AI293" i="29"/>
  <c r="AI294" i="29"/>
  <c r="AI295" i="29"/>
  <c r="AI296" i="29"/>
  <c r="AI297" i="29"/>
  <c r="AI300" i="29"/>
  <c r="AI292" i="29"/>
  <c r="AI298" i="29"/>
  <c r="AI299" i="29"/>
  <c r="AI312" i="29"/>
  <c r="AI313" i="29"/>
  <c r="AI314" i="29"/>
  <c r="AI315" i="29"/>
  <c r="AI311" i="29"/>
  <c r="AI306" i="29"/>
  <c r="AI307" i="29"/>
  <c r="AI308" i="29"/>
  <c r="AI310" i="29"/>
  <c r="AI309" i="29"/>
  <c r="AI329" i="29"/>
  <c r="AI327" i="29"/>
  <c r="AI324" i="29"/>
  <c r="AI320" i="29"/>
  <c r="AI325" i="29"/>
  <c r="AI321" i="29"/>
  <c r="AI326" i="29"/>
  <c r="AI322" i="29"/>
  <c r="AI328" i="29"/>
  <c r="AI323" i="29"/>
  <c r="AI271" i="29"/>
  <c r="AI272" i="29"/>
  <c r="AI190" i="29"/>
  <c r="J547" i="29"/>
  <c r="F105" i="14"/>
  <c r="F107" i="14" s="1"/>
  <c r="G106" i="14" s="1"/>
  <c r="G17" i="29"/>
  <c r="G101" i="14"/>
  <c r="I84" i="14"/>
  <c r="P197" i="14"/>
  <c r="P198" i="14"/>
  <c r="P194" i="14"/>
  <c r="P193" i="14"/>
  <c r="P40" i="29" s="1"/>
  <c r="O190" i="14"/>
  <c r="O189" i="14"/>
  <c r="L42" i="14"/>
  <c r="L72" i="14" s="1"/>
  <c r="S149" i="14"/>
  <c r="R150" i="14"/>
  <c r="J549" i="29"/>
  <c r="J563" i="29" s="1"/>
  <c r="K549" i="29"/>
  <c r="AI64" i="29"/>
  <c r="AI65" i="29"/>
  <c r="AI123" i="29"/>
  <c r="AI124" i="29"/>
  <c r="AI109" i="29"/>
  <c r="AI79" i="29"/>
  <c r="AI78" i="29"/>
  <c r="AI80" i="29"/>
  <c r="AI95" i="29"/>
  <c r="L381" i="29"/>
  <c r="L469" i="29" s="1"/>
  <c r="L382" i="29"/>
  <c r="L470" i="29" s="1"/>
  <c r="AI279" i="29"/>
  <c r="AI455" i="29" s="1"/>
  <c r="AI281" i="29"/>
  <c r="AI274" i="29"/>
  <c r="AI450" i="29" s="1"/>
  <c r="AI276" i="29"/>
  <c r="AI452" i="29" s="1"/>
  <c r="AI372" i="29"/>
  <c r="AI373" i="29"/>
  <c r="AI371" i="29"/>
  <c r="AI374" i="29"/>
  <c r="AI344" i="29"/>
  <c r="AI345" i="29"/>
  <c r="AI343" i="29"/>
  <c r="AI346" i="29"/>
  <c r="AI360" i="29"/>
  <c r="AI357" i="29"/>
  <c r="AI359" i="29"/>
  <c r="AI358" i="29"/>
  <c r="AI126" i="29"/>
  <c r="AI125" i="29"/>
  <c r="AI112" i="29"/>
  <c r="AI111" i="29"/>
  <c r="AI67" i="29"/>
  <c r="AI66" i="29"/>
  <c r="AI81" i="29"/>
  <c r="AI98" i="29"/>
  <c r="AI97" i="29"/>
  <c r="AI192" i="29"/>
  <c r="L384" i="29"/>
  <c r="L472" i="29" s="1"/>
  <c r="L383" i="29"/>
  <c r="L471" i="29" s="1"/>
  <c r="AI278" i="29"/>
  <c r="AI454" i="29" s="1"/>
  <c r="AI277" i="29"/>
  <c r="AI453" i="29" s="1"/>
  <c r="AI282" i="29"/>
  <c r="AI458" i="29" s="1"/>
  <c r="Q36" i="29"/>
  <c r="AI356" i="29"/>
  <c r="AI370" i="29"/>
  <c r="AI342" i="29"/>
  <c r="AI210" i="29"/>
  <c r="AI209" i="29"/>
  <c r="AI211" i="29"/>
  <c r="AI208" i="29"/>
  <c r="AI207" i="29"/>
  <c r="AI223" i="29"/>
  <c r="AI225" i="29"/>
  <c r="AI224" i="29"/>
  <c r="AI222" i="29"/>
  <c r="AI221" i="29"/>
  <c r="AI193" i="29"/>
  <c r="AI114" i="29"/>
  <c r="AI115" i="29"/>
  <c r="AI113" i="29"/>
  <c r="AI128" i="29"/>
  <c r="AI127" i="29"/>
  <c r="AI129" i="29"/>
  <c r="AI94" i="29"/>
  <c r="AI108" i="29"/>
  <c r="AI122" i="29"/>
  <c r="N131" i="14"/>
  <c r="O82" i="14" s="1"/>
  <c r="N41" i="29"/>
  <c r="AI41" i="29" s="1"/>
  <c r="N22" i="29"/>
  <c r="N500" i="29" s="1"/>
  <c r="AI500" i="29" s="1"/>
  <c r="N391" i="29"/>
  <c r="AI391" i="29" s="1"/>
  <c r="L156" i="14"/>
  <c r="L380" i="29"/>
  <c r="L468" i="29" s="1"/>
  <c r="L379" i="29"/>
  <c r="L467" i="29" s="1"/>
  <c r="M378" i="29"/>
  <c r="M466" i="29" s="1"/>
  <c r="P21" i="14"/>
  <c r="P11" i="29" s="1"/>
  <c r="G117" i="14"/>
  <c r="G111" i="14" s="1"/>
  <c r="M14" i="29"/>
  <c r="M22" i="14"/>
  <c r="M205" i="14" s="1"/>
  <c r="L112" i="14"/>
  <c r="L8" i="29"/>
  <c r="L485" i="29" s="1"/>
  <c r="N20" i="14"/>
  <c r="N202" i="14" s="1"/>
  <c r="N9" i="29"/>
  <c r="AI9" i="29" s="1"/>
  <c r="N13" i="29"/>
  <c r="L212" i="14"/>
  <c r="M10" i="29"/>
  <c r="M17" i="14"/>
  <c r="M203" i="14" s="1"/>
  <c r="L236" i="14" s="1"/>
  <c r="L12" i="29"/>
  <c r="L113" i="14"/>
  <c r="Q183" i="29"/>
  <c r="AI437" i="29" l="1"/>
  <c r="F232" i="14"/>
  <c r="E247" i="14"/>
  <c r="G232" i="14"/>
  <c r="F247" i="14"/>
  <c r="F249" i="14" s="1"/>
  <c r="G543" i="29" s="1"/>
  <c r="G544" i="29" s="1"/>
  <c r="O318" i="29"/>
  <c r="O323" i="29"/>
  <c r="M447" i="29"/>
  <c r="M448" i="29" s="1"/>
  <c r="O328" i="29"/>
  <c r="H428" i="29"/>
  <c r="H182" i="29"/>
  <c r="H429" i="29" s="1"/>
  <c r="H517" i="29" s="1"/>
  <c r="G430" i="29"/>
  <c r="AI443" i="29"/>
  <c r="O326" i="29"/>
  <c r="O322" i="29"/>
  <c r="O319" i="29"/>
  <c r="O434" i="29" s="1"/>
  <c r="O320" i="29"/>
  <c r="O324" i="29"/>
  <c r="O440" i="29" s="1"/>
  <c r="O321" i="29"/>
  <c r="O325" i="29"/>
  <c r="O441" i="29" s="1"/>
  <c r="O327" i="29"/>
  <c r="O443" i="29" s="1"/>
  <c r="AI442" i="29"/>
  <c r="K484" i="29"/>
  <c r="H521" i="29"/>
  <c r="E520" i="29"/>
  <c r="E522" i="29" s="1"/>
  <c r="E528" i="29"/>
  <c r="E540" i="29" s="1"/>
  <c r="N229" i="14"/>
  <c r="P289" i="29"/>
  <c r="G20" i="29"/>
  <c r="G498" i="29" s="1"/>
  <c r="G19" i="29"/>
  <c r="G497" i="29" s="1"/>
  <c r="G18" i="29"/>
  <c r="G496" i="29" s="1"/>
  <c r="I426" i="29"/>
  <c r="I537" i="29" s="1"/>
  <c r="AI13" i="29"/>
  <c r="AI487" i="29"/>
  <c r="P317" i="29"/>
  <c r="P324" i="29" s="1"/>
  <c r="J159" i="29"/>
  <c r="J165" i="29"/>
  <c r="J163" i="29"/>
  <c r="J160" i="29"/>
  <c r="J155" i="29"/>
  <c r="J157" i="29"/>
  <c r="J164" i="29"/>
  <c r="J162" i="29"/>
  <c r="J158" i="29"/>
  <c r="J156" i="29"/>
  <c r="J161" i="29"/>
  <c r="J166" i="29"/>
  <c r="N506" i="29"/>
  <c r="AI506" i="29" s="1"/>
  <c r="AI505" i="29"/>
  <c r="K168" i="29"/>
  <c r="K140" i="29"/>
  <c r="K154" i="29"/>
  <c r="J143" i="29"/>
  <c r="J141" i="29"/>
  <c r="J144" i="29"/>
  <c r="J146" i="29"/>
  <c r="J148" i="29"/>
  <c r="J145" i="29"/>
  <c r="J142" i="29"/>
  <c r="J149" i="29"/>
  <c r="J151" i="29"/>
  <c r="J152" i="29"/>
  <c r="J150" i="29"/>
  <c r="J147" i="29"/>
  <c r="L539" i="29"/>
  <c r="L414" i="29"/>
  <c r="L516" i="29" s="1"/>
  <c r="L490" i="29"/>
  <c r="J179" i="29"/>
  <c r="J171" i="29"/>
  <c r="J178" i="29"/>
  <c r="J180" i="29"/>
  <c r="J170" i="29"/>
  <c r="J169" i="29"/>
  <c r="J175" i="29"/>
  <c r="J173" i="29"/>
  <c r="J177" i="29"/>
  <c r="J172" i="29"/>
  <c r="J174" i="29"/>
  <c r="J176" i="29"/>
  <c r="L514" i="29"/>
  <c r="L486" i="29"/>
  <c r="L484" i="29" s="1"/>
  <c r="K42" i="29"/>
  <c r="K499" i="29"/>
  <c r="I526" i="29"/>
  <c r="AI438" i="29"/>
  <c r="N529" i="29"/>
  <c r="AI529" i="29" s="1"/>
  <c r="AI439" i="29"/>
  <c r="N532" i="29"/>
  <c r="AI532" i="29" s="1"/>
  <c r="N530" i="29"/>
  <c r="AI530" i="29" s="1"/>
  <c r="F533" i="29"/>
  <c r="AI433" i="29"/>
  <c r="I419" i="29"/>
  <c r="O435" i="29"/>
  <c r="L21" i="29"/>
  <c r="L499" i="29" s="1"/>
  <c r="L513" i="29"/>
  <c r="I420" i="29"/>
  <c r="J415" i="29"/>
  <c r="O439" i="29"/>
  <c r="I422" i="29"/>
  <c r="I417" i="29"/>
  <c r="I421" i="29"/>
  <c r="O444" i="29"/>
  <c r="O438" i="29"/>
  <c r="O529" i="29" s="1"/>
  <c r="N227" i="29"/>
  <c r="N447" i="29" s="1"/>
  <c r="N446" i="29"/>
  <c r="AI446" i="29" s="1"/>
  <c r="I427" i="29"/>
  <c r="I538" i="29" s="1"/>
  <c r="I423" i="29"/>
  <c r="K390" i="29"/>
  <c r="K477" i="29" s="1"/>
  <c r="K479" i="29" s="1"/>
  <c r="K478" i="29"/>
  <c r="O436" i="29"/>
  <c r="J479" i="29"/>
  <c r="AI286" i="29"/>
  <c r="AI457" i="29"/>
  <c r="AI462" i="29" s="1"/>
  <c r="I418" i="29"/>
  <c r="O437" i="29"/>
  <c r="Q287" i="29"/>
  <c r="Q289" i="29" s="1"/>
  <c r="Q432" i="29"/>
  <c r="I424" i="29"/>
  <c r="I535" i="29" s="1"/>
  <c r="I416" i="29"/>
  <c r="I425" i="29"/>
  <c r="I536" i="29" s="1"/>
  <c r="O445" i="29"/>
  <c r="O442" i="29"/>
  <c r="P211" i="29"/>
  <c r="P210" i="29"/>
  <c r="P202" i="29"/>
  <c r="P204" i="29"/>
  <c r="P205" i="29"/>
  <c r="P206" i="29"/>
  <c r="P208" i="29"/>
  <c r="P203" i="29"/>
  <c r="P207" i="29"/>
  <c r="P209" i="29"/>
  <c r="P311" i="29"/>
  <c r="P312" i="29"/>
  <c r="P314" i="29"/>
  <c r="P306" i="29"/>
  <c r="P315" i="29"/>
  <c r="P313" i="29"/>
  <c r="P307" i="29"/>
  <c r="P308" i="29"/>
  <c r="P310" i="29"/>
  <c r="P309" i="29"/>
  <c r="Q199" i="29"/>
  <c r="Q213" i="29"/>
  <c r="Q185" i="29"/>
  <c r="P192" i="29"/>
  <c r="P194" i="29"/>
  <c r="P190" i="29"/>
  <c r="P188" i="29"/>
  <c r="P197" i="29"/>
  <c r="P195" i="29"/>
  <c r="P189" i="29"/>
  <c r="P191" i="29"/>
  <c r="P193" i="29"/>
  <c r="P196" i="29"/>
  <c r="P327" i="29"/>
  <c r="P328" i="29"/>
  <c r="P320" i="29"/>
  <c r="P323" i="29"/>
  <c r="P321" i="29"/>
  <c r="P322" i="29"/>
  <c r="P329" i="29"/>
  <c r="P216" i="29"/>
  <c r="P221" i="29"/>
  <c r="P217" i="29"/>
  <c r="P222" i="29"/>
  <c r="P223" i="29"/>
  <c r="P224" i="29"/>
  <c r="P219" i="29"/>
  <c r="P225" i="29"/>
  <c r="P220" i="29"/>
  <c r="P218" i="29"/>
  <c r="P301" i="29"/>
  <c r="P292" i="29"/>
  <c r="P295" i="29"/>
  <c r="P297" i="29"/>
  <c r="P298" i="29"/>
  <c r="P296" i="29"/>
  <c r="P294" i="29"/>
  <c r="P299" i="29"/>
  <c r="L389" i="29"/>
  <c r="P291" i="29"/>
  <c r="P318" i="29"/>
  <c r="P319" i="29"/>
  <c r="P304" i="29"/>
  <c r="P305" i="29"/>
  <c r="O330" i="29"/>
  <c r="O331" i="29" s="1"/>
  <c r="P200" i="29"/>
  <c r="P201" i="29"/>
  <c r="I181" i="29"/>
  <c r="M31" i="29"/>
  <c r="L138" i="29"/>
  <c r="O226" i="29"/>
  <c r="P214" i="29"/>
  <c r="P215" i="29"/>
  <c r="P186" i="29"/>
  <c r="P187" i="29"/>
  <c r="F138" i="14"/>
  <c r="F139" i="14" s="1"/>
  <c r="G140" i="14" s="1"/>
  <c r="G107" i="14"/>
  <c r="H106" i="14" s="1"/>
  <c r="J85" i="14"/>
  <c r="K86" i="14" s="1"/>
  <c r="N76" i="14"/>
  <c r="N122" i="14" s="1"/>
  <c r="K563" i="29"/>
  <c r="J561" i="29"/>
  <c r="O75" i="14"/>
  <c r="O39" i="29"/>
  <c r="O505" i="29" s="1"/>
  <c r="O506" i="29" s="1"/>
  <c r="K545" i="29"/>
  <c r="K559" i="29" s="1"/>
  <c r="H546" i="29"/>
  <c r="H560" i="29" s="1"/>
  <c r="H90" i="14"/>
  <c r="H87" i="14" s="1"/>
  <c r="H88" i="14" s="1"/>
  <c r="I89" i="14" s="1"/>
  <c r="L231" i="14"/>
  <c r="AI53" i="29"/>
  <c r="AI52" i="29"/>
  <c r="M388" i="29"/>
  <c r="M476" i="29" s="1"/>
  <c r="M385" i="29"/>
  <c r="M473" i="29" s="1"/>
  <c r="M386" i="29"/>
  <c r="M474" i="29" s="1"/>
  <c r="M387" i="29"/>
  <c r="M475" i="29" s="1"/>
  <c r="K547" i="29"/>
  <c r="H94" i="14"/>
  <c r="I95" i="14" s="1"/>
  <c r="G103" i="14"/>
  <c r="G138" i="14"/>
  <c r="G139" i="14" s="1"/>
  <c r="P189" i="14"/>
  <c r="P190" i="14"/>
  <c r="Q194" i="14"/>
  <c r="Q193" i="14"/>
  <c r="Q40" i="29" s="1"/>
  <c r="Q198" i="14"/>
  <c r="Q197" i="14"/>
  <c r="M42" i="14"/>
  <c r="M72" i="14" s="1"/>
  <c r="T149" i="14"/>
  <c r="S150" i="14"/>
  <c r="L42" i="29"/>
  <c r="M381" i="29"/>
  <c r="M469" i="29" s="1"/>
  <c r="M382" i="29"/>
  <c r="M470" i="29" s="1"/>
  <c r="AI280" i="29"/>
  <c r="AI456" i="29" s="1"/>
  <c r="AI197" i="29"/>
  <c r="AI196" i="29"/>
  <c r="AI195" i="29"/>
  <c r="AI194" i="29"/>
  <c r="AI99" i="29"/>
  <c r="AI100" i="29"/>
  <c r="AI101" i="29"/>
  <c r="AI51" i="29"/>
  <c r="AI375" i="29"/>
  <c r="AI376" i="29"/>
  <c r="AI331" i="29"/>
  <c r="AI330" i="29"/>
  <c r="M384" i="29"/>
  <c r="M472" i="29" s="1"/>
  <c r="M383" i="29"/>
  <c r="M471" i="29" s="1"/>
  <c r="R36" i="29"/>
  <c r="AI283" i="29"/>
  <c r="AI459" i="29" s="1"/>
  <c r="AI134" i="29"/>
  <c r="AI132" i="29"/>
  <c r="AI131" i="29"/>
  <c r="AI133" i="29"/>
  <c r="AI117" i="29"/>
  <c r="AI119" i="29"/>
  <c r="AI120" i="29"/>
  <c r="AI118" i="29"/>
  <c r="AI102" i="29"/>
  <c r="AI116" i="29"/>
  <c r="AI50" i="29"/>
  <c r="AI130" i="29"/>
  <c r="AI83" i="29"/>
  <c r="AI84" i="29"/>
  <c r="AI82" i="29"/>
  <c r="AI77" i="29"/>
  <c r="AI70" i="29"/>
  <c r="AI68" i="29"/>
  <c r="AI69" i="29"/>
  <c r="AI63" i="29"/>
  <c r="AI49" i="29"/>
  <c r="K231" i="14"/>
  <c r="K124" i="14"/>
  <c r="K119" i="14" s="1"/>
  <c r="M380" i="29"/>
  <c r="M468" i="29" s="1"/>
  <c r="M379" i="29"/>
  <c r="M467" i="29" s="1"/>
  <c r="K81" i="14"/>
  <c r="AI22" i="29"/>
  <c r="O41" i="29"/>
  <c r="O22" i="29"/>
  <c r="O500" i="29" s="1"/>
  <c r="O391" i="29"/>
  <c r="N378" i="29"/>
  <c r="N466" i="29" s="1"/>
  <c r="AI39" i="29"/>
  <c r="O131" i="14"/>
  <c r="P82" i="14" s="1"/>
  <c r="Q21" i="14"/>
  <c r="Q11" i="29" s="1"/>
  <c r="G155" i="14"/>
  <c r="G157" i="14" s="1"/>
  <c r="G126" i="14"/>
  <c r="G128" i="14" s="1"/>
  <c r="H127" i="14" s="1"/>
  <c r="AI55" i="29"/>
  <c r="AI57" i="29"/>
  <c r="AI56" i="29"/>
  <c r="M212" i="14"/>
  <c r="O20" i="14"/>
  <c r="O202" i="14" s="1"/>
  <c r="O9" i="29"/>
  <c r="M12" i="29"/>
  <c r="M113" i="14"/>
  <c r="N10" i="29"/>
  <c r="AI10" i="29" s="1"/>
  <c r="N17" i="14"/>
  <c r="N203" i="14" s="1"/>
  <c r="M236" i="14" s="1"/>
  <c r="O13" i="29"/>
  <c r="M112" i="14"/>
  <c r="M8" i="29"/>
  <c r="M485" i="29" s="1"/>
  <c r="N14" i="29"/>
  <c r="AI14" i="29" s="1"/>
  <c r="N22" i="14"/>
  <c r="N205" i="14" s="1"/>
  <c r="R183" i="29"/>
  <c r="E249" i="14" l="1"/>
  <c r="P433" i="29"/>
  <c r="P326" i="29"/>
  <c r="I521" i="29"/>
  <c r="P300" i="29"/>
  <c r="P290" i="29"/>
  <c r="P293" i="29"/>
  <c r="P325" i="29"/>
  <c r="P441" i="29" s="1"/>
  <c r="J420" i="29"/>
  <c r="I428" i="29"/>
  <c r="I182" i="29"/>
  <c r="I429" i="29" s="1"/>
  <c r="I517" i="29" s="1"/>
  <c r="H430" i="29"/>
  <c r="J418" i="29"/>
  <c r="E523" i="29"/>
  <c r="J417" i="29"/>
  <c r="J422" i="29"/>
  <c r="O229" i="14"/>
  <c r="M539" i="29"/>
  <c r="M549" i="29" s="1"/>
  <c r="AI397" i="29"/>
  <c r="J526" i="29"/>
  <c r="K173" i="29"/>
  <c r="K175" i="29"/>
  <c r="K169" i="29"/>
  <c r="K179" i="29"/>
  <c r="K177" i="29"/>
  <c r="K171" i="29"/>
  <c r="K176" i="29"/>
  <c r="K180" i="29"/>
  <c r="K178" i="29"/>
  <c r="K170" i="29"/>
  <c r="K174" i="29"/>
  <c r="K172" i="29"/>
  <c r="Q303" i="29"/>
  <c r="Q317" i="29"/>
  <c r="Q329" i="29" s="1"/>
  <c r="K166" i="29"/>
  <c r="K162" i="29"/>
  <c r="K161" i="29"/>
  <c r="K157" i="29"/>
  <c r="K163" i="29"/>
  <c r="K160" i="29"/>
  <c r="K164" i="29"/>
  <c r="K156" i="29"/>
  <c r="K159" i="29"/>
  <c r="K165" i="29"/>
  <c r="K155" i="29"/>
  <c r="K158" i="29"/>
  <c r="L168" i="29"/>
  <c r="L154" i="29"/>
  <c r="L140" i="29"/>
  <c r="M414" i="29"/>
  <c r="M516" i="29" s="1"/>
  <c r="M490" i="29"/>
  <c r="M514" i="29"/>
  <c r="M486" i="29"/>
  <c r="M484" i="29" s="1"/>
  <c r="P434" i="29"/>
  <c r="K152" i="29"/>
  <c r="K143" i="29"/>
  <c r="K145" i="29"/>
  <c r="K142" i="29"/>
  <c r="K147" i="29"/>
  <c r="K149" i="29"/>
  <c r="K146" i="29"/>
  <c r="K144" i="29"/>
  <c r="K141" i="29"/>
  <c r="K148" i="29"/>
  <c r="K150" i="29"/>
  <c r="K151" i="29"/>
  <c r="O532" i="29"/>
  <c r="O530" i="29"/>
  <c r="G488" i="29"/>
  <c r="G501" i="29" s="1"/>
  <c r="G507" i="29" s="1"/>
  <c r="F548" i="29"/>
  <c r="F562" i="29" s="1"/>
  <c r="P440" i="29"/>
  <c r="G533" i="29"/>
  <c r="G519" i="29"/>
  <c r="J419" i="29"/>
  <c r="M21" i="29"/>
  <c r="M499" i="29" s="1"/>
  <c r="M513" i="29"/>
  <c r="J423" i="29"/>
  <c r="J427" i="29"/>
  <c r="J538" i="29" s="1"/>
  <c r="P444" i="29"/>
  <c r="P442" i="29"/>
  <c r="AI466" i="29"/>
  <c r="J424" i="29"/>
  <c r="J535" i="29" s="1"/>
  <c r="K415" i="29"/>
  <c r="P437" i="29"/>
  <c r="L390" i="29"/>
  <c r="L477" i="29" s="1"/>
  <c r="L479" i="29" s="1"/>
  <c r="L478" i="29"/>
  <c r="P443" i="29"/>
  <c r="P435" i="29"/>
  <c r="J425" i="29"/>
  <c r="J536" i="29" s="1"/>
  <c r="R287" i="29"/>
  <c r="R289" i="29" s="1"/>
  <c r="R432" i="29"/>
  <c r="O227" i="29"/>
  <c r="O447" i="29" s="1"/>
  <c r="O446" i="29"/>
  <c r="J426" i="29"/>
  <c r="J537" i="29" s="1"/>
  <c r="P445" i="29"/>
  <c r="P439" i="29"/>
  <c r="J416" i="29"/>
  <c r="J521" i="29" s="1"/>
  <c r="J421" i="29"/>
  <c r="P436" i="29"/>
  <c r="P438" i="29"/>
  <c r="P529" i="29" s="1"/>
  <c r="N448" i="29"/>
  <c r="AI447" i="29"/>
  <c r="AI448" i="29" s="1"/>
  <c r="Q211" i="29"/>
  <c r="Q203" i="29"/>
  <c r="Q205" i="29"/>
  <c r="Q206" i="29"/>
  <c r="Q207" i="29"/>
  <c r="Q209" i="29"/>
  <c r="Q202" i="29"/>
  <c r="Q204" i="29"/>
  <c r="Q210" i="29"/>
  <c r="Q208" i="29"/>
  <c r="Q309" i="29"/>
  <c r="Q312" i="29"/>
  <c r="Q315" i="29"/>
  <c r="Q314" i="29"/>
  <c r="Q308" i="29"/>
  <c r="Q306" i="29"/>
  <c r="Q311" i="29"/>
  <c r="Q307" i="29"/>
  <c r="Q313" i="29"/>
  <c r="Q310" i="29"/>
  <c r="Q299" i="29"/>
  <c r="Q295" i="29"/>
  <c r="Q292" i="29"/>
  <c r="Q301" i="29"/>
  <c r="Q297" i="29"/>
  <c r="Q296" i="29"/>
  <c r="Q298" i="29"/>
  <c r="Q294" i="29"/>
  <c r="Q300" i="29"/>
  <c r="Q293" i="29"/>
  <c r="Q190" i="29"/>
  <c r="Q196" i="29"/>
  <c r="Q188" i="29"/>
  <c r="Q197" i="29"/>
  <c r="Q191" i="29"/>
  <c r="Q189" i="29"/>
  <c r="Q193" i="29"/>
  <c r="Q192" i="29"/>
  <c r="Q194" i="29"/>
  <c r="Q195" i="29"/>
  <c r="R185" i="29"/>
  <c r="R213" i="29"/>
  <c r="R199" i="29"/>
  <c r="M389" i="29"/>
  <c r="Q225" i="29"/>
  <c r="Q218" i="29"/>
  <c r="Q217" i="29"/>
  <c r="Q222" i="29"/>
  <c r="Q219" i="29"/>
  <c r="Q220" i="29"/>
  <c r="Q223" i="29"/>
  <c r="Q224" i="29"/>
  <c r="Q216" i="29"/>
  <c r="Q221" i="29"/>
  <c r="J181" i="29"/>
  <c r="P330" i="29"/>
  <c r="P331" i="29" s="1"/>
  <c r="Q290" i="29"/>
  <c r="Q291" i="29"/>
  <c r="Q305" i="29"/>
  <c r="Q304" i="29"/>
  <c r="P226" i="29"/>
  <c r="Q187" i="29"/>
  <c r="Q186" i="29"/>
  <c r="N31" i="29"/>
  <c r="M138" i="29"/>
  <c r="Q201" i="29"/>
  <c r="Q200" i="29"/>
  <c r="Q214" i="29"/>
  <c r="Q215" i="29"/>
  <c r="AI226" i="29"/>
  <c r="AI227" i="29" s="1"/>
  <c r="G23" i="29"/>
  <c r="G141" i="14"/>
  <c r="G142" i="14" s="1"/>
  <c r="F141" i="14"/>
  <c r="F142" i="14" s="1"/>
  <c r="O76" i="14"/>
  <c r="O122" i="14" s="1"/>
  <c r="K561" i="29"/>
  <c r="E558" i="29"/>
  <c r="P75" i="14"/>
  <c r="P39" i="29"/>
  <c r="P505" i="29" s="1"/>
  <c r="P506" i="29" s="1"/>
  <c r="L81" i="14"/>
  <c r="L84" i="14" s="1"/>
  <c r="L124" i="14"/>
  <c r="L119" i="14" s="1"/>
  <c r="I546" i="29"/>
  <c r="I560" i="29" s="1"/>
  <c r="L545" i="29"/>
  <c r="L559" i="29" s="1"/>
  <c r="H91" i="14"/>
  <c r="I92" i="14" s="1"/>
  <c r="H102" i="14"/>
  <c r="H104" i="14" s="1"/>
  <c r="G534" i="29"/>
  <c r="N388" i="29"/>
  <c r="N476" i="29" s="1"/>
  <c r="AI476" i="29" s="1"/>
  <c r="N385" i="29"/>
  <c r="N473" i="29" s="1"/>
  <c r="AI473" i="29" s="1"/>
  <c r="N386" i="29"/>
  <c r="N474" i="29" s="1"/>
  <c r="AI474" i="29" s="1"/>
  <c r="N387" i="29"/>
  <c r="N475" i="29" s="1"/>
  <c r="AI475" i="29" s="1"/>
  <c r="L547" i="29"/>
  <c r="H140" i="14"/>
  <c r="I96" i="14"/>
  <c r="H101" i="14"/>
  <c r="R197" i="14"/>
  <c r="R198" i="14"/>
  <c r="R193" i="14"/>
  <c r="R40" i="29" s="1"/>
  <c r="R194" i="14"/>
  <c r="Q189" i="14"/>
  <c r="Q190" i="14"/>
  <c r="N42" i="14"/>
  <c r="N72" i="14" s="1"/>
  <c r="U149" i="14"/>
  <c r="T150" i="14"/>
  <c r="N156" i="14"/>
  <c r="M124" i="14"/>
  <c r="M119" i="14" s="1"/>
  <c r="L549" i="29"/>
  <c r="L563" i="29" s="1"/>
  <c r="N382" i="29"/>
  <c r="N470" i="29" s="1"/>
  <c r="AI470" i="29" s="1"/>
  <c r="N381" i="29"/>
  <c r="N469" i="29" s="1"/>
  <c r="AI469" i="29" s="1"/>
  <c r="AI275" i="29"/>
  <c r="AI103" i="29"/>
  <c r="AI104" i="29"/>
  <c r="AI105" i="29"/>
  <c r="N383" i="29"/>
  <c r="N384" i="29"/>
  <c r="N472" i="29" s="1"/>
  <c r="AI472" i="29" s="1"/>
  <c r="S36" i="29"/>
  <c r="AI106" i="29"/>
  <c r="AI73" i="29"/>
  <c r="AI74" i="29"/>
  <c r="AI75" i="29"/>
  <c r="AI72" i="29"/>
  <c r="AI71" i="29"/>
  <c r="AI54" i="29"/>
  <c r="AI89" i="29"/>
  <c r="AI86" i="29"/>
  <c r="AI87" i="29"/>
  <c r="AI88" i="29"/>
  <c r="AI85" i="29"/>
  <c r="AI61" i="29"/>
  <c r="AI59" i="29"/>
  <c r="AI60" i="29"/>
  <c r="AI58" i="29"/>
  <c r="P131" i="14"/>
  <c r="Q82" i="14" s="1"/>
  <c r="N380" i="29"/>
  <c r="N468" i="29" s="1"/>
  <c r="AI468" i="29" s="1"/>
  <c r="N379" i="29"/>
  <c r="N467" i="29" s="1"/>
  <c r="AI378" i="29"/>
  <c r="K84" i="14"/>
  <c r="K85" i="14"/>
  <c r="L86" i="14" s="1"/>
  <c r="O378" i="29"/>
  <c r="O466" i="29" s="1"/>
  <c r="P41" i="29"/>
  <c r="P22" i="29"/>
  <c r="P500" i="29" s="1"/>
  <c r="P391" i="29"/>
  <c r="R21" i="14"/>
  <c r="R11" i="29" s="1"/>
  <c r="O14" i="29"/>
  <c r="O22" i="14"/>
  <c r="O205" i="14" s="1"/>
  <c r="N212" i="14"/>
  <c r="N12" i="29"/>
  <c r="N113" i="14"/>
  <c r="N112" i="14"/>
  <c r="N8" i="29"/>
  <c r="O17" i="14"/>
  <c r="O203" i="14" s="1"/>
  <c r="N236" i="14" s="1"/>
  <c r="O10" i="29"/>
  <c r="P20" i="14"/>
  <c r="P202" i="14" s="1"/>
  <c r="P9" i="29"/>
  <c r="P13" i="29"/>
  <c r="S183" i="29"/>
  <c r="F543" i="29" l="1"/>
  <c r="F544" i="29" s="1"/>
  <c r="E250" i="14"/>
  <c r="F250" i="14" s="1"/>
  <c r="J428" i="29"/>
  <c r="J182" i="29"/>
  <c r="J429" i="29" s="1"/>
  <c r="J517" i="29" s="1"/>
  <c r="I430" i="29"/>
  <c r="K416" i="29"/>
  <c r="Q322" i="29"/>
  <c r="Q438" i="29" s="1"/>
  <c r="Q529" i="29" s="1"/>
  <c r="Q320" i="29"/>
  <c r="Q323" i="29"/>
  <c r="Q325" i="29"/>
  <c r="Q318" i="29"/>
  <c r="M42" i="29"/>
  <c r="Q319" i="29"/>
  <c r="Q434" i="29" s="1"/>
  <c r="Q327" i="29"/>
  <c r="Q443" i="29" s="1"/>
  <c r="R303" i="29"/>
  <c r="R309" i="29" s="1"/>
  <c r="Q324" i="29"/>
  <c r="Q440" i="29" s="1"/>
  <c r="Q433" i="29"/>
  <c r="Q321" i="29"/>
  <c r="Q437" i="29" s="1"/>
  <c r="Q328" i="29"/>
  <c r="Q444" i="29" s="1"/>
  <c r="Q326" i="29"/>
  <c r="Q442" i="29" s="1"/>
  <c r="P229" i="14"/>
  <c r="K423" i="29"/>
  <c r="K526" i="29"/>
  <c r="N414" i="29"/>
  <c r="N516" i="29" s="1"/>
  <c r="N490" i="29"/>
  <c r="AI490" i="29" s="1"/>
  <c r="AI467" i="29"/>
  <c r="N539" i="29"/>
  <c r="AI539" i="29" s="1"/>
  <c r="N513" i="29"/>
  <c r="AI513" i="29" s="1"/>
  <c r="N485" i="29"/>
  <c r="M168" i="29"/>
  <c r="M154" i="29"/>
  <c r="M140" i="29"/>
  <c r="L149" i="29"/>
  <c r="L150" i="29"/>
  <c r="L145" i="29"/>
  <c r="L147" i="29"/>
  <c r="L146" i="29"/>
  <c r="L142" i="29"/>
  <c r="L152" i="29"/>
  <c r="L144" i="29"/>
  <c r="L141" i="29"/>
  <c r="L143" i="29"/>
  <c r="L148" i="29"/>
  <c r="L151" i="29"/>
  <c r="L156" i="29"/>
  <c r="L165" i="29"/>
  <c r="L155" i="29"/>
  <c r="L164" i="29"/>
  <c r="L158" i="29"/>
  <c r="L166" i="29"/>
  <c r="L162" i="29"/>
  <c r="L160" i="29"/>
  <c r="L159" i="29"/>
  <c r="L163" i="29"/>
  <c r="L157" i="29"/>
  <c r="L161" i="29"/>
  <c r="L176" i="29"/>
  <c r="L178" i="29"/>
  <c r="L180" i="29"/>
  <c r="L169" i="29"/>
  <c r="L179" i="29"/>
  <c r="L174" i="29"/>
  <c r="L170" i="29"/>
  <c r="L177" i="29"/>
  <c r="L171" i="29"/>
  <c r="L173" i="29"/>
  <c r="L175" i="29"/>
  <c r="L172" i="29"/>
  <c r="N514" i="29"/>
  <c r="AI514" i="29" s="1"/>
  <c r="N486" i="29"/>
  <c r="AI486" i="29" s="1"/>
  <c r="P532" i="29"/>
  <c r="P530" i="29"/>
  <c r="F520" i="29"/>
  <c r="F522" i="29" s="1"/>
  <c r="F528" i="29"/>
  <c r="F540" i="29" s="1"/>
  <c r="K424" i="29"/>
  <c r="K535" i="29" s="1"/>
  <c r="K421" i="29"/>
  <c r="K422" i="29"/>
  <c r="K418" i="29"/>
  <c r="S287" i="29"/>
  <c r="S303" i="29" s="1"/>
  <c r="S432" i="29"/>
  <c r="AI285" i="29"/>
  <c r="AI451" i="29"/>
  <c r="AI461" i="29" s="1"/>
  <c r="AI463" i="29" s="1"/>
  <c r="R317" i="29"/>
  <c r="P227" i="29"/>
  <c r="P447" i="29" s="1"/>
  <c r="P446" i="29"/>
  <c r="K420" i="29"/>
  <c r="Q441" i="29"/>
  <c r="K425" i="29"/>
  <c r="K536" i="29" s="1"/>
  <c r="M390" i="29"/>
  <c r="M477" i="29" s="1"/>
  <c r="M479" i="29" s="1"/>
  <c r="M478" i="29"/>
  <c r="K427" i="29"/>
  <c r="K538" i="29" s="1"/>
  <c r="Q435" i="29"/>
  <c r="Q439" i="29"/>
  <c r="L415" i="29"/>
  <c r="K419" i="29"/>
  <c r="O448" i="29"/>
  <c r="AI383" i="29"/>
  <c r="N471" i="29"/>
  <c r="AI471" i="29" s="1"/>
  <c r="Q445" i="29"/>
  <c r="K417" i="29"/>
  <c r="Q436" i="29"/>
  <c r="K426" i="29"/>
  <c r="K537" i="29" s="1"/>
  <c r="R306" i="29"/>
  <c r="R308" i="29"/>
  <c r="S199" i="29"/>
  <c r="S213" i="29"/>
  <c r="S185" i="29"/>
  <c r="R204" i="29"/>
  <c r="R206" i="29"/>
  <c r="R207" i="29"/>
  <c r="R208" i="29"/>
  <c r="R210" i="29"/>
  <c r="R202" i="29"/>
  <c r="R203" i="29"/>
  <c r="R211" i="29"/>
  <c r="R205" i="29"/>
  <c r="R209" i="29"/>
  <c r="R222" i="29"/>
  <c r="R218" i="29"/>
  <c r="R223" i="29"/>
  <c r="R225" i="29"/>
  <c r="R219" i="29"/>
  <c r="R224" i="29"/>
  <c r="R216" i="29"/>
  <c r="R220" i="29"/>
  <c r="R217" i="29"/>
  <c r="R221" i="29"/>
  <c r="R191" i="29"/>
  <c r="R189" i="29"/>
  <c r="R197" i="29"/>
  <c r="R192" i="29"/>
  <c r="R188" i="29"/>
  <c r="R194" i="29"/>
  <c r="R190" i="29"/>
  <c r="R196" i="29"/>
  <c r="R195" i="29"/>
  <c r="R193" i="29"/>
  <c r="N389" i="29"/>
  <c r="N21" i="29"/>
  <c r="R300" i="29"/>
  <c r="R292" i="29"/>
  <c r="R301" i="29"/>
  <c r="R294" i="29"/>
  <c r="R295" i="29"/>
  <c r="R293" i="29"/>
  <c r="R297" i="29"/>
  <c r="R299" i="29"/>
  <c r="R298" i="29"/>
  <c r="R296" i="29"/>
  <c r="R291" i="29"/>
  <c r="R290" i="29"/>
  <c r="K181" i="29"/>
  <c r="Q226" i="29"/>
  <c r="O31" i="29"/>
  <c r="N138" i="29"/>
  <c r="R200" i="29"/>
  <c r="R201" i="29"/>
  <c r="R187" i="29"/>
  <c r="R186" i="29"/>
  <c r="R215" i="29"/>
  <c r="R214" i="29"/>
  <c r="G548" i="29"/>
  <c r="G562" i="29" s="1"/>
  <c r="L85" i="14"/>
  <c r="M86" i="14" s="1"/>
  <c r="P76" i="14"/>
  <c r="P122" i="14" s="1"/>
  <c r="M563" i="29"/>
  <c r="L561" i="29"/>
  <c r="Q75" i="14"/>
  <c r="Q229" i="14" s="1"/>
  <c r="Q39" i="29"/>
  <c r="Q505" i="29" s="1"/>
  <c r="Q506" i="29" s="1"/>
  <c r="M545" i="29"/>
  <c r="M559" i="29" s="1"/>
  <c r="J546" i="29"/>
  <c r="J560" i="29" s="1"/>
  <c r="C195" i="52"/>
  <c r="AI31" i="29"/>
  <c r="AI414" i="29" s="1"/>
  <c r="M231" i="14"/>
  <c r="O388" i="29"/>
  <c r="O476" i="29" s="1"/>
  <c r="O385" i="29"/>
  <c r="O473" i="29" s="1"/>
  <c r="O386" i="29"/>
  <c r="O474" i="29" s="1"/>
  <c r="O387" i="29"/>
  <c r="O475" i="29" s="1"/>
  <c r="AI381" i="29"/>
  <c r="AI382" i="29"/>
  <c r="M547" i="29"/>
  <c r="I97" i="14"/>
  <c r="I93" i="14"/>
  <c r="H103" i="14"/>
  <c r="O42" i="14"/>
  <c r="O72" i="14" s="1"/>
  <c r="R189" i="14"/>
  <c r="R190" i="14"/>
  <c r="S193" i="14"/>
  <c r="S40" i="29" s="1"/>
  <c r="S194" i="14"/>
  <c r="S197" i="14"/>
  <c r="S198" i="14"/>
  <c r="H17" i="29"/>
  <c r="H83" i="14"/>
  <c r="M81" i="14"/>
  <c r="M85" i="14" s="1"/>
  <c r="N86" i="14" s="1"/>
  <c r="V149" i="14"/>
  <c r="U150" i="14"/>
  <c r="N81" i="14"/>
  <c r="N84" i="14" s="1"/>
  <c r="O156" i="14"/>
  <c r="O382" i="29"/>
  <c r="O470" i="29" s="1"/>
  <c r="O381" i="29"/>
  <c r="O469" i="29" s="1"/>
  <c r="AI136" i="29"/>
  <c r="AI135" i="29"/>
  <c r="AI91" i="29"/>
  <c r="O383" i="29"/>
  <c r="O471" i="29" s="1"/>
  <c r="O384" i="29"/>
  <c r="O472" i="29" s="1"/>
  <c r="AI384" i="29"/>
  <c r="T36" i="29"/>
  <c r="AI90" i="29"/>
  <c r="P378" i="29"/>
  <c r="P466" i="29" s="1"/>
  <c r="AI379" i="29"/>
  <c r="Q41" i="29"/>
  <c r="Q22" i="29"/>
  <c r="Q500" i="29" s="1"/>
  <c r="Q391" i="29"/>
  <c r="O380" i="29"/>
  <c r="O468" i="29" s="1"/>
  <c r="O379" i="29"/>
  <c r="O467" i="29" s="1"/>
  <c r="AI380" i="29"/>
  <c r="Q131" i="14"/>
  <c r="R82" i="14" s="1"/>
  <c r="S21" i="14"/>
  <c r="S11" i="29" s="1"/>
  <c r="AI8" i="29"/>
  <c r="AI12" i="29"/>
  <c r="O212" i="14"/>
  <c r="P14" i="29"/>
  <c r="P22" i="14"/>
  <c r="P205" i="14" s="1"/>
  <c r="Q20" i="14"/>
  <c r="Q202" i="14" s="1"/>
  <c r="Q9" i="29"/>
  <c r="O112" i="14"/>
  <c r="O8" i="29"/>
  <c r="O485" i="29" s="1"/>
  <c r="P17" i="14"/>
  <c r="P203" i="14" s="1"/>
  <c r="O236" i="14" s="1"/>
  <c r="P10" i="29"/>
  <c r="Q13" i="29"/>
  <c r="O113" i="14"/>
  <c r="O12" i="29"/>
  <c r="T183" i="29"/>
  <c r="K521" i="29" l="1"/>
  <c r="R307" i="29"/>
  <c r="R312" i="29"/>
  <c r="R315" i="29"/>
  <c r="R305" i="29"/>
  <c r="R314" i="29"/>
  <c r="R444" i="29" s="1"/>
  <c r="R433" i="29"/>
  <c r="R304" i="29"/>
  <c r="R313" i="29"/>
  <c r="R311" i="29"/>
  <c r="R310" i="29"/>
  <c r="K428" i="29"/>
  <c r="K182" i="29"/>
  <c r="K429" i="29" s="1"/>
  <c r="K517" i="29" s="1"/>
  <c r="J430" i="29"/>
  <c r="L424" i="29"/>
  <c r="L535" i="29" s="1"/>
  <c r="R321" i="29"/>
  <c r="R437" i="29" s="1"/>
  <c r="R328" i="29"/>
  <c r="R323" i="29"/>
  <c r="R322" i="29"/>
  <c r="S317" i="29"/>
  <c r="S321" i="29" s="1"/>
  <c r="Q330" i="29"/>
  <c r="Q331" i="29" s="1"/>
  <c r="R327" i="29"/>
  <c r="R318" i="29"/>
  <c r="R324" i="29"/>
  <c r="R440" i="29" s="1"/>
  <c r="R319" i="29"/>
  <c r="R434" i="29" s="1"/>
  <c r="R326" i="29"/>
  <c r="R442" i="29" s="1"/>
  <c r="R320" i="29"/>
  <c r="R329" i="29"/>
  <c r="R445" i="29" s="1"/>
  <c r="R325" i="29"/>
  <c r="S289" i="29"/>
  <c r="S292" i="29" s="1"/>
  <c r="M415" i="29"/>
  <c r="L420" i="29"/>
  <c r="N484" i="29"/>
  <c r="AI484" i="29" s="1"/>
  <c r="Q76" i="14"/>
  <c r="Q122" i="14" s="1"/>
  <c r="H20" i="29"/>
  <c r="H498" i="29" s="1"/>
  <c r="H19" i="29"/>
  <c r="H18" i="29"/>
  <c r="L426" i="29"/>
  <c r="L537" i="29" s="1"/>
  <c r="L526" i="29"/>
  <c r="O539" i="29"/>
  <c r="O549" i="29" s="1"/>
  <c r="M143" i="29"/>
  <c r="M142" i="29"/>
  <c r="M148" i="29"/>
  <c r="M152" i="29"/>
  <c r="M141" i="29"/>
  <c r="M150" i="29"/>
  <c r="M147" i="29"/>
  <c r="M144" i="29"/>
  <c r="M146" i="29"/>
  <c r="M151" i="29"/>
  <c r="M145" i="29"/>
  <c r="M149" i="29"/>
  <c r="M157" i="29"/>
  <c r="M165" i="29"/>
  <c r="M159" i="29"/>
  <c r="M161" i="29"/>
  <c r="M163" i="29"/>
  <c r="M156" i="29"/>
  <c r="M162" i="29"/>
  <c r="M164" i="29"/>
  <c r="M158" i="29"/>
  <c r="M166" i="29"/>
  <c r="M160" i="29"/>
  <c r="M155" i="29"/>
  <c r="N154" i="29"/>
  <c r="N140" i="29"/>
  <c r="N168" i="29"/>
  <c r="M176" i="29"/>
  <c r="M170" i="29"/>
  <c r="M177" i="29"/>
  <c r="M178" i="29"/>
  <c r="M179" i="29"/>
  <c r="M171" i="29"/>
  <c r="M180" i="29"/>
  <c r="M172" i="29"/>
  <c r="M174" i="29"/>
  <c r="M169" i="29"/>
  <c r="M173" i="29"/>
  <c r="M175" i="29"/>
  <c r="AI21" i="29"/>
  <c r="N499" i="29"/>
  <c r="AI499" i="29" s="1"/>
  <c r="AI485" i="29"/>
  <c r="O414" i="29"/>
  <c r="O516" i="29" s="1"/>
  <c r="O490" i="29"/>
  <c r="O514" i="29"/>
  <c r="O486" i="29"/>
  <c r="O484" i="29" s="1"/>
  <c r="Q532" i="29"/>
  <c r="Q530" i="29"/>
  <c r="O21" i="29"/>
  <c r="O499" i="29" s="1"/>
  <c r="O513" i="29"/>
  <c r="T287" i="29"/>
  <c r="T317" i="29" s="1"/>
  <c r="T432" i="29"/>
  <c r="L418" i="29"/>
  <c r="R435" i="29"/>
  <c r="R443" i="29"/>
  <c r="R439" i="29"/>
  <c r="L423" i="29"/>
  <c r="L422" i="29"/>
  <c r="R438" i="29"/>
  <c r="R529" i="29" s="1"/>
  <c r="L427" i="29"/>
  <c r="L538" i="29" s="1"/>
  <c r="L425" i="29"/>
  <c r="L536" i="29" s="1"/>
  <c r="P448" i="29"/>
  <c r="S433" i="29"/>
  <c r="L417" i="29"/>
  <c r="N390" i="29"/>
  <c r="N477" i="29" s="1"/>
  <c r="N478" i="29"/>
  <c r="AI478" i="29" s="1"/>
  <c r="R436" i="29"/>
  <c r="L421" i="29"/>
  <c r="L416" i="29"/>
  <c r="Q227" i="29"/>
  <c r="Q447" i="29" s="1"/>
  <c r="Q446" i="29"/>
  <c r="L419" i="29"/>
  <c r="S216" i="29"/>
  <c r="S218" i="29"/>
  <c r="S219" i="29"/>
  <c r="S217" i="29"/>
  <c r="S220" i="29"/>
  <c r="S225" i="29"/>
  <c r="S221" i="29"/>
  <c r="S222" i="29"/>
  <c r="S223" i="29"/>
  <c r="S224" i="29"/>
  <c r="S192" i="29"/>
  <c r="S190" i="29"/>
  <c r="S193" i="29"/>
  <c r="S191" i="29"/>
  <c r="S195" i="29"/>
  <c r="S194" i="29"/>
  <c r="S196" i="29"/>
  <c r="S197" i="29"/>
  <c r="S188" i="29"/>
  <c r="S189" i="29"/>
  <c r="O389" i="29"/>
  <c r="S210" i="29"/>
  <c r="S211" i="29"/>
  <c r="S205" i="29"/>
  <c r="S207" i="29"/>
  <c r="S208" i="29"/>
  <c r="S209" i="29"/>
  <c r="S203" i="29"/>
  <c r="S202" i="29"/>
  <c r="S204" i="29"/>
  <c r="S206" i="29"/>
  <c r="N42" i="29"/>
  <c r="AI42" i="29" s="1"/>
  <c r="S294" i="29"/>
  <c r="S300" i="29"/>
  <c r="S301" i="29"/>
  <c r="T185" i="29"/>
  <c r="T199" i="29"/>
  <c r="T213" i="29"/>
  <c r="S313" i="29"/>
  <c r="S310" i="29"/>
  <c r="S309" i="29"/>
  <c r="S308" i="29"/>
  <c r="S315" i="29"/>
  <c r="S314" i="29"/>
  <c r="S306" i="29"/>
  <c r="S307" i="29"/>
  <c r="S311" i="29"/>
  <c r="S312" i="29"/>
  <c r="S323" i="29"/>
  <c r="S327" i="29"/>
  <c r="S322" i="29"/>
  <c r="S320" i="29"/>
  <c r="S319" i="29"/>
  <c r="S318" i="29"/>
  <c r="S304" i="29"/>
  <c r="S305" i="29"/>
  <c r="R226" i="29"/>
  <c r="P31" i="29"/>
  <c r="O138" i="29"/>
  <c r="L181" i="29"/>
  <c r="S186" i="29"/>
  <c r="S187" i="29"/>
  <c r="S200" i="29"/>
  <c r="S201" i="29"/>
  <c r="S214" i="29"/>
  <c r="S215" i="29"/>
  <c r="H117" i="14"/>
  <c r="H111" i="14" s="1"/>
  <c r="H126" i="14" s="1"/>
  <c r="H128" i="14" s="1"/>
  <c r="I127" i="14" s="1"/>
  <c r="H228" i="14"/>
  <c r="M561" i="29"/>
  <c r="F558" i="29"/>
  <c r="R75" i="14"/>
  <c r="R39" i="29"/>
  <c r="K546" i="29"/>
  <c r="K560" i="29" s="1"/>
  <c r="AI138" i="29"/>
  <c r="P385" i="29"/>
  <c r="P473" i="29" s="1"/>
  <c r="P386" i="29"/>
  <c r="P474" i="29" s="1"/>
  <c r="P387" i="29"/>
  <c r="P475" i="29" s="1"/>
  <c r="P388" i="29"/>
  <c r="P476" i="29" s="1"/>
  <c r="N547" i="29"/>
  <c r="AI547" i="29" s="1"/>
  <c r="I101" i="14"/>
  <c r="H155" i="14"/>
  <c r="H157" i="14" s="1"/>
  <c r="I90" i="14"/>
  <c r="I94" i="14"/>
  <c r="J98" i="14"/>
  <c r="T197" i="14"/>
  <c r="T198" i="14"/>
  <c r="T193" i="14"/>
  <c r="T40" i="29" s="1"/>
  <c r="T194" i="14"/>
  <c r="S190" i="14"/>
  <c r="S189" i="14"/>
  <c r="P42" i="14"/>
  <c r="P72" i="14" s="1"/>
  <c r="M84" i="14"/>
  <c r="W149" i="14"/>
  <c r="V150" i="14"/>
  <c r="N231" i="14"/>
  <c r="N124" i="14"/>
  <c r="N119" i="14" s="1"/>
  <c r="N85" i="14"/>
  <c r="O86" i="14" s="1"/>
  <c r="P381" i="29"/>
  <c r="P469" i="29" s="1"/>
  <c r="P382" i="29"/>
  <c r="P470" i="29" s="1"/>
  <c r="AI386" i="29"/>
  <c r="AI387" i="29"/>
  <c r="AI385" i="29"/>
  <c r="AI388" i="29"/>
  <c r="P384" i="29"/>
  <c r="P472" i="29" s="1"/>
  <c r="P383" i="29"/>
  <c r="P471" i="29" s="1"/>
  <c r="U36" i="29"/>
  <c r="R41" i="29"/>
  <c r="R22" i="29"/>
  <c r="R500" i="29" s="1"/>
  <c r="R391" i="29"/>
  <c r="P379" i="29"/>
  <c r="P467" i="29" s="1"/>
  <c r="P380" i="29"/>
  <c r="P468" i="29" s="1"/>
  <c r="R131" i="14"/>
  <c r="S82" i="14" s="1"/>
  <c r="Q378" i="29"/>
  <c r="Q466" i="29" s="1"/>
  <c r="T21" i="14"/>
  <c r="T11" i="29" s="1"/>
  <c r="H105" i="14"/>
  <c r="H107" i="14" s="1"/>
  <c r="I106" i="14" s="1"/>
  <c r="P212" i="14"/>
  <c r="R13" i="29"/>
  <c r="P112" i="14"/>
  <c r="P8" i="29"/>
  <c r="P485" i="29" s="1"/>
  <c r="Q10" i="29"/>
  <c r="Q17" i="14"/>
  <c r="Q203" i="14" s="1"/>
  <c r="P236" i="14" s="1"/>
  <c r="Q14" i="29"/>
  <c r="Q22" i="14"/>
  <c r="Q205" i="14" s="1"/>
  <c r="P113" i="14"/>
  <c r="P12" i="29"/>
  <c r="R20" i="14"/>
  <c r="R202" i="14" s="1"/>
  <c r="R9" i="29"/>
  <c r="U183" i="29"/>
  <c r="S299" i="29" l="1"/>
  <c r="H232" i="14"/>
  <c r="G247" i="14"/>
  <c r="S297" i="29"/>
  <c r="S290" i="29"/>
  <c r="S293" i="29"/>
  <c r="S295" i="29"/>
  <c r="R441" i="29"/>
  <c r="O42" i="29"/>
  <c r="S325" i="29"/>
  <c r="S324" i="29"/>
  <c r="L428" i="29"/>
  <c r="L182" i="29"/>
  <c r="L429" i="29" s="1"/>
  <c r="L517" i="29" s="1"/>
  <c r="K430" i="29"/>
  <c r="S296" i="29"/>
  <c r="S291" i="29"/>
  <c r="S298" i="29"/>
  <c r="S328" i="29"/>
  <c r="S444" i="29" s="1"/>
  <c r="S329" i="29"/>
  <c r="S326" i="29"/>
  <c r="S442" i="29" s="1"/>
  <c r="M421" i="29"/>
  <c r="M422" i="29"/>
  <c r="R330" i="29"/>
  <c r="R331" i="29" s="1"/>
  <c r="T303" i="29"/>
  <c r="T309" i="29" s="1"/>
  <c r="T289" i="29"/>
  <c r="T296" i="29" s="1"/>
  <c r="R76" i="14"/>
  <c r="R122" i="14" s="1"/>
  <c r="R156" i="14" s="1"/>
  <c r="L521" i="29"/>
  <c r="M526" i="29"/>
  <c r="N174" i="29"/>
  <c r="AI174" i="29" s="1"/>
  <c r="N175" i="29"/>
  <c r="N179" i="29"/>
  <c r="AI179" i="29" s="1"/>
  <c r="N177" i="29"/>
  <c r="AI177" i="29" s="1"/>
  <c r="N171" i="29"/>
  <c r="N173" i="29"/>
  <c r="AI173" i="29" s="1"/>
  <c r="N180" i="29"/>
  <c r="AI180" i="29" s="1"/>
  <c r="N169" i="29"/>
  <c r="AI169" i="29" s="1"/>
  <c r="N176" i="29"/>
  <c r="AI176" i="29" s="1"/>
  <c r="N172" i="29"/>
  <c r="AI172" i="29" s="1"/>
  <c r="N170" i="29"/>
  <c r="AI170" i="29" s="1"/>
  <c r="N178" i="29"/>
  <c r="AI178" i="29" s="1"/>
  <c r="N146" i="29"/>
  <c r="N143" i="29"/>
  <c r="N145" i="29"/>
  <c r="N151" i="29"/>
  <c r="N152" i="29"/>
  <c r="AI152" i="29" s="1"/>
  <c r="N144" i="29"/>
  <c r="N148" i="29"/>
  <c r="N150" i="29"/>
  <c r="N147" i="29"/>
  <c r="N141" i="29"/>
  <c r="N142" i="29"/>
  <c r="N149" i="29"/>
  <c r="AI149" i="29" s="1"/>
  <c r="O168" i="29"/>
  <c r="O154" i="29"/>
  <c r="O140" i="29"/>
  <c r="N155" i="29"/>
  <c r="AI155" i="29" s="1"/>
  <c r="N159" i="29"/>
  <c r="AI159" i="29" s="1"/>
  <c r="N161" i="29"/>
  <c r="AI161" i="29" s="1"/>
  <c r="N164" i="29"/>
  <c r="AI164" i="29" s="1"/>
  <c r="N158" i="29"/>
  <c r="AI158" i="29" s="1"/>
  <c r="N160" i="29"/>
  <c r="AI160" i="29" s="1"/>
  <c r="N166" i="29"/>
  <c r="N157" i="29"/>
  <c r="AI157" i="29" s="1"/>
  <c r="N163" i="29"/>
  <c r="AI163" i="29" s="1"/>
  <c r="N162" i="29"/>
  <c r="AI162" i="29" s="1"/>
  <c r="N165" i="29"/>
  <c r="AI165" i="29" s="1"/>
  <c r="N156" i="29"/>
  <c r="AI156" i="29" s="1"/>
  <c r="P539" i="29"/>
  <c r="P514" i="29"/>
  <c r="P486" i="29"/>
  <c r="P484" i="29" s="1"/>
  <c r="R378" i="29"/>
  <c r="R466" i="29" s="1"/>
  <c r="R505" i="29"/>
  <c r="R506" i="29" s="1"/>
  <c r="P414" i="29"/>
  <c r="P516" i="29" s="1"/>
  <c r="P490" i="29"/>
  <c r="R532" i="29"/>
  <c r="R530" i="29"/>
  <c r="H534" i="29"/>
  <c r="H497" i="29"/>
  <c r="H496" i="29"/>
  <c r="G520" i="29"/>
  <c r="G522" i="29" s="1"/>
  <c r="G528" i="29"/>
  <c r="M427" i="29"/>
  <c r="M538" i="29" s="1"/>
  <c r="M426" i="29"/>
  <c r="M537" i="29" s="1"/>
  <c r="N415" i="29"/>
  <c r="P21" i="29"/>
  <c r="P499" i="29" s="1"/>
  <c r="P513" i="29"/>
  <c r="M417" i="29"/>
  <c r="M420" i="29"/>
  <c r="M416" i="29"/>
  <c r="M418" i="29"/>
  <c r="T433" i="29"/>
  <c r="O390" i="29"/>
  <c r="O477" i="29" s="1"/>
  <c r="O479" i="29" s="1"/>
  <c r="O478" i="29"/>
  <c r="S441" i="29"/>
  <c r="S437" i="29"/>
  <c r="S438" i="29"/>
  <c r="S529" i="29" s="1"/>
  <c r="S436" i="29"/>
  <c r="Q448" i="29"/>
  <c r="S445" i="29"/>
  <c r="S434" i="29"/>
  <c r="R227" i="29"/>
  <c r="S435" i="29"/>
  <c r="M423" i="29"/>
  <c r="S443" i="29"/>
  <c r="M424" i="29"/>
  <c r="M535" i="29" s="1"/>
  <c r="M425" i="29"/>
  <c r="M536" i="29" s="1"/>
  <c r="U287" i="29"/>
  <c r="U289" i="29" s="1"/>
  <c r="U432" i="29"/>
  <c r="M419" i="29"/>
  <c r="S439" i="29"/>
  <c r="AI477" i="29"/>
  <c r="N479" i="29"/>
  <c r="AI479" i="29" s="1"/>
  <c r="AI389" i="29"/>
  <c r="AI390" i="29" s="1"/>
  <c r="T193" i="29"/>
  <c r="T191" i="29"/>
  <c r="T189" i="29"/>
  <c r="T194" i="29"/>
  <c r="T190" i="29"/>
  <c r="T196" i="29"/>
  <c r="T188" i="29"/>
  <c r="T197" i="29"/>
  <c r="T195" i="29"/>
  <c r="T192" i="29"/>
  <c r="T294" i="29"/>
  <c r="T295" i="29"/>
  <c r="T297" i="29"/>
  <c r="T298" i="29"/>
  <c r="T300" i="29"/>
  <c r="T320" i="29"/>
  <c r="T324" i="29"/>
  <c r="T323" i="29"/>
  <c r="T327" i="29"/>
  <c r="T322" i="29"/>
  <c r="T325" i="29"/>
  <c r="T329" i="29"/>
  <c r="T321" i="29"/>
  <c r="T328" i="29"/>
  <c r="T326" i="29"/>
  <c r="U213" i="29"/>
  <c r="U199" i="29"/>
  <c r="U185" i="29"/>
  <c r="P389" i="29"/>
  <c r="T216" i="29"/>
  <c r="T221" i="29"/>
  <c r="T220" i="29"/>
  <c r="T219" i="29"/>
  <c r="T217" i="29"/>
  <c r="T218" i="29"/>
  <c r="T225" i="29"/>
  <c r="T223" i="29"/>
  <c r="T222" i="29"/>
  <c r="T224" i="29"/>
  <c r="AI175" i="29"/>
  <c r="AI171" i="29"/>
  <c r="T211" i="29"/>
  <c r="T206" i="29"/>
  <c r="T208" i="29"/>
  <c r="T209" i="29"/>
  <c r="T202" i="29"/>
  <c r="T204" i="29"/>
  <c r="T205" i="29"/>
  <c r="T207" i="29"/>
  <c r="T203" i="29"/>
  <c r="T210" i="29"/>
  <c r="T312" i="29"/>
  <c r="T315" i="29"/>
  <c r="T314" i="29"/>
  <c r="T306" i="29"/>
  <c r="T307" i="29"/>
  <c r="T310" i="29"/>
  <c r="T308" i="29"/>
  <c r="T313" i="29"/>
  <c r="T305" i="29"/>
  <c r="T304" i="29"/>
  <c r="T319" i="29"/>
  <c r="T318" i="29"/>
  <c r="S330" i="29"/>
  <c r="S331" i="29" s="1"/>
  <c r="S226" i="29"/>
  <c r="M181" i="29"/>
  <c r="AI166" i="29"/>
  <c r="T215" i="29"/>
  <c r="T214" i="29"/>
  <c r="T187" i="29"/>
  <c r="T186" i="29"/>
  <c r="Q31" i="29"/>
  <c r="P138" i="29"/>
  <c r="T200" i="29"/>
  <c r="T201" i="29"/>
  <c r="H23" i="29"/>
  <c r="AI140" i="29"/>
  <c r="AI168" i="29"/>
  <c r="H138" i="14"/>
  <c r="H139" i="14" s="1"/>
  <c r="I140" i="14" s="1"/>
  <c r="O81" i="14"/>
  <c r="O85" i="14" s="1"/>
  <c r="P86" i="14" s="1"/>
  <c r="P156" i="14"/>
  <c r="R229" i="14"/>
  <c r="N561" i="29"/>
  <c r="AI561" i="29" s="1"/>
  <c r="S75" i="14"/>
  <c r="S39" i="29"/>
  <c r="S505" i="29" s="1"/>
  <c r="S506" i="29" s="1"/>
  <c r="N549" i="29"/>
  <c r="C191" i="52"/>
  <c r="N545" i="29"/>
  <c r="N559" i="29" s="1"/>
  <c r="O545" i="29"/>
  <c r="L546" i="29"/>
  <c r="L560" i="29" s="1"/>
  <c r="AI154" i="29"/>
  <c r="R386" i="29"/>
  <c r="R474" i="29" s="1"/>
  <c r="R387" i="29"/>
  <c r="R475" i="29" s="1"/>
  <c r="R388" i="29"/>
  <c r="R476" i="29" s="1"/>
  <c r="R385" i="29"/>
  <c r="R473" i="29" s="1"/>
  <c r="Q386" i="29"/>
  <c r="Q474" i="29" s="1"/>
  <c r="Q387" i="29"/>
  <c r="Q475" i="29" s="1"/>
  <c r="Q385" i="29"/>
  <c r="Q473" i="29" s="1"/>
  <c r="Q388" i="29"/>
  <c r="Q476" i="29" s="1"/>
  <c r="H533" i="29"/>
  <c r="O547" i="29"/>
  <c r="J95" i="14"/>
  <c r="I87" i="14"/>
  <c r="I91" i="14"/>
  <c r="J92" i="14" s="1"/>
  <c r="J99" i="14"/>
  <c r="T190" i="14"/>
  <c r="T189" i="14"/>
  <c r="U194" i="14"/>
  <c r="U193" i="14"/>
  <c r="U40" i="29" s="1"/>
  <c r="U197" i="14"/>
  <c r="U198" i="14"/>
  <c r="Q42" i="14"/>
  <c r="Q72" i="14" s="1"/>
  <c r="X149" i="14"/>
  <c r="W150" i="14"/>
  <c r="P549" i="29"/>
  <c r="R382" i="29"/>
  <c r="R470" i="29" s="1"/>
  <c r="R381" i="29"/>
  <c r="R469" i="29" s="1"/>
  <c r="Q381" i="29"/>
  <c r="Q469" i="29" s="1"/>
  <c r="Q382" i="29"/>
  <c r="Q470" i="29" s="1"/>
  <c r="Q384" i="29"/>
  <c r="Q472" i="29" s="1"/>
  <c r="Q383" i="29"/>
  <c r="Q471" i="29" s="1"/>
  <c r="R383" i="29"/>
  <c r="R471" i="29" s="1"/>
  <c r="R384" i="29"/>
  <c r="R472" i="29" s="1"/>
  <c r="V36" i="29"/>
  <c r="R379" i="29"/>
  <c r="R467" i="29" s="1"/>
  <c r="R380" i="29"/>
  <c r="R468" i="29" s="1"/>
  <c r="Q380" i="29"/>
  <c r="Q468" i="29" s="1"/>
  <c r="Q379" i="29"/>
  <c r="Q467" i="29" s="1"/>
  <c r="S41" i="29"/>
  <c r="S22" i="29"/>
  <c r="S500" i="29" s="1"/>
  <c r="S391" i="29"/>
  <c r="P81" i="14"/>
  <c r="P84" i="14" s="1"/>
  <c r="Q156" i="14"/>
  <c r="S131" i="14"/>
  <c r="T82" i="14" s="1"/>
  <c r="U21" i="14"/>
  <c r="U11" i="29" s="1"/>
  <c r="I155" i="14"/>
  <c r="I157" i="14" s="1"/>
  <c r="Q212" i="14"/>
  <c r="R14" i="29"/>
  <c r="R22" i="14"/>
  <c r="R205" i="14" s="1"/>
  <c r="R10" i="29"/>
  <c r="R17" i="14"/>
  <c r="R203" i="14" s="1"/>
  <c r="Q236" i="14" s="1"/>
  <c r="Q113" i="14"/>
  <c r="Q12" i="29"/>
  <c r="Q112" i="14"/>
  <c r="Q8" i="29"/>
  <c r="Q485" i="29" s="1"/>
  <c r="S13" i="29"/>
  <c r="S20" i="14"/>
  <c r="S202" i="14" s="1"/>
  <c r="S9" i="29"/>
  <c r="V183" i="29"/>
  <c r="G249" i="14" l="1"/>
  <c r="O124" i="14"/>
  <c r="O119" i="14" s="1"/>
  <c r="S440" i="29"/>
  <c r="U317" i="29"/>
  <c r="P42" i="29"/>
  <c r="T311" i="29"/>
  <c r="T301" i="29"/>
  <c r="M428" i="29"/>
  <c r="M182" i="29"/>
  <c r="M429" i="29" s="1"/>
  <c r="L430" i="29"/>
  <c r="R446" i="29"/>
  <c r="R447" i="29"/>
  <c r="N426" i="29"/>
  <c r="N537" i="29" s="1"/>
  <c r="AI537" i="29" s="1"/>
  <c r="N526" i="29"/>
  <c r="AI526" i="29" s="1"/>
  <c r="T292" i="29"/>
  <c r="T291" i="29"/>
  <c r="T434" i="29" s="1"/>
  <c r="T293" i="29"/>
  <c r="T437" i="29" s="1"/>
  <c r="T290" i="29"/>
  <c r="T435" i="29" s="1"/>
  <c r="T299" i="29"/>
  <c r="T443" i="29" s="1"/>
  <c r="O231" i="14"/>
  <c r="U303" i="29"/>
  <c r="U308" i="29" s="1"/>
  <c r="S229" i="14"/>
  <c r="Q539" i="29"/>
  <c r="M521" i="29"/>
  <c r="R539" i="29"/>
  <c r="R549" i="29" s="1"/>
  <c r="N427" i="29"/>
  <c r="N538" i="29" s="1"/>
  <c r="AI538" i="29" s="1"/>
  <c r="H488" i="29"/>
  <c r="H501" i="29" s="1"/>
  <c r="H507" i="29" s="1"/>
  <c r="P154" i="29"/>
  <c r="P140" i="29"/>
  <c r="P168" i="29"/>
  <c r="Q514" i="29"/>
  <c r="Q486" i="29"/>
  <c r="Q484" i="29" s="1"/>
  <c r="Q414" i="29"/>
  <c r="Q516" i="29" s="1"/>
  <c r="Q490" i="29"/>
  <c r="T442" i="29"/>
  <c r="O151" i="29"/>
  <c r="O150" i="29"/>
  <c r="O144" i="29"/>
  <c r="O419" i="29" s="1"/>
  <c r="O141" i="29"/>
  <c r="O149" i="29"/>
  <c r="O142" i="29"/>
  <c r="O146" i="29"/>
  <c r="O145" i="29"/>
  <c r="O148" i="29"/>
  <c r="O143" i="29"/>
  <c r="O147" i="29"/>
  <c r="O152" i="29"/>
  <c r="O155" i="29"/>
  <c r="O156" i="29"/>
  <c r="O160" i="29"/>
  <c r="O166" i="29"/>
  <c r="O157" i="29"/>
  <c r="O161" i="29"/>
  <c r="O158" i="29"/>
  <c r="O162" i="29"/>
  <c r="O163" i="29"/>
  <c r="O165" i="29"/>
  <c r="O164" i="29"/>
  <c r="O159" i="29"/>
  <c r="O172" i="29"/>
  <c r="O180" i="29"/>
  <c r="O176" i="29"/>
  <c r="O177" i="29"/>
  <c r="O178" i="29"/>
  <c r="O169" i="29"/>
  <c r="O174" i="29"/>
  <c r="O170" i="29"/>
  <c r="O179" i="29"/>
  <c r="O173" i="29"/>
  <c r="O175" i="29"/>
  <c r="O171" i="29"/>
  <c r="AI426" i="29"/>
  <c r="S532" i="29"/>
  <c r="S530" i="29"/>
  <c r="H519" i="29"/>
  <c r="N419" i="29"/>
  <c r="AI419" i="29" s="1"/>
  <c r="AI415" i="29"/>
  <c r="N424" i="29"/>
  <c r="Q21" i="29"/>
  <c r="Q499" i="29" s="1"/>
  <c r="Q513" i="29"/>
  <c r="N417" i="29"/>
  <c r="AI417" i="29" s="1"/>
  <c r="N421" i="29"/>
  <c r="AI421" i="29" s="1"/>
  <c r="AI516" i="29"/>
  <c r="N425" i="29"/>
  <c r="N422" i="29"/>
  <c r="AI422" i="29" s="1"/>
  <c r="T445" i="29"/>
  <c r="V287" i="29"/>
  <c r="V317" i="29" s="1"/>
  <c r="V432" i="29"/>
  <c r="AI142" i="29"/>
  <c r="N416" i="29"/>
  <c r="N418" i="29"/>
  <c r="AI418" i="29" s="1"/>
  <c r="T436" i="29"/>
  <c r="T444" i="29"/>
  <c r="N420" i="29"/>
  <c r="AI420" i="29" s="1"/>
  <c r="T438" i="29"/>
  <c r="T529" i="29" s="1"/>
  <c r="S227" i="29"/>
  <c r="S447" i="29" s="1"/>
  <c r="S446" i="29"/>
  <c r="O415" i="29"/>
  <c r="N423" i="29"/>
  <c r="AI423" i="29" s="1"/>
  <c r="T440" i="29"/>
  <c r="T439" i="29"/>
  <c r="P390" i="29"/>
  <c r="P477" i="29" s="1"/>
  <c r="P479" i="29" s="1"/>
  <c r="P478" i="29"/>
  <c r="T441" i="29"/>
  <c r="V213" i="29"/>
  <c r="V199" i="29"/>
  <c r="V185" i="29"/>
  <c r="U310" i="29"/>
  <c r="Q389" i="29"/>
  <c r="U299" i="29"/>
  <c r="U298" i="29"/>
  <c r="U292" i="29"/>
  <c r="U301" i="29"/>
  <c r="U295" i="29"/>
  <c r="U300" i="29"/>
  <c r="U293" i="29"/>
  <c r="U297" i="29"/>
  <c r="U296" i="29"/>
  <c r="U294" i="29"/>
  <c r="U325" i="29"/>
  <c r="U329" i="29"/>
  <c r="U322" i="29"/>
  <c r="U324" i="29"/>
  <c r="U323" i="29"/>
  <c r="U320" i="29"/>
  <c r="U326" i="29"/>
  <c r="U328" i="29"/>
  <c r="U321" i="29"/>
  <c r="U327" i="29"/>
  <c r="U194" i="29"/>
  <c r="U192" i="29"/>
  <c r="U188" i="29"/>
  <c r="U193" i="29"/>
  <c r="U196" i="29"/>
  <c r="U197" i="29"/>
  <c r="U189" i="29"/>
  <c r="U190" i="29"/>
  <c r="U191" i="29"/>
  <c r="U195" i="29"/>
  <c r="U211" i="29"/>
  <c r="U207" i="29"/>
  <c r="U209" i="29"/>
  <c r="U202" i="29"/>
  <c r="U210" i="29"/>
  <c r="U203" i="29"/>
  <c r="U205" i="29"/>
  <c r="U204" i="29"/>
  <c r="U206" i="29"/>
  <c r="U208" i="29"/>
  <c r="R389" i="29"/>
  <c r="U225" i="29"/>
  <c r="U220" i="29"/>
  <c r="U222" i="29"/>
  <c r="U224" i="29"/>
  <c r="U221" i="29"/>
  <c r="U218" i="29"/>
  <c r="U219" i="29"/>
  <c r="U223" i="29"/>
  <c r="U217" i="29"/>
  <c r="U216" i="29"/>
  <c r="U291" i="29"/>
  <c r="U290" i="29"/>
  <c r="U319" i="29"/>
  <c r="U318" i="29"/>
  <c r="R31" i="29"/>
  <c r="Q138" i="29"/>
  <c r="T226" i="29"/>
  <c r="U215" i="29"/>
  <c r="U214" i="29"/>
  <c r="N181" i="29"/>
  <c r="U187" i="29"/>
  <c r="U186" i="29"/>
  <c r="U201" i="29"/>
  <c r="U200" i="29"/>
  <c r="H548" i="29"/>
  <c r="H562" i="29" s="1"/>
  <c r="H141" i="14"/>
  <c r="H142" i="14" s="1"/>
  <c r="C196" i="52"/>
  <c r="O84" i="14"/>
  <c r="S76" i="14"/>
  <c r="S122" i="14" s="1"/>
  <c r="O559" i="29"/>
  <c r="AI559" i="29"/>
  <c r="O561" i="29"/>
  <c r="AI549" i="29"/>
  <c r="C203" i="52" s="1"/>
  <c r="N563" i="29"/>
  <c r="G540" i="29"/>
  <c r="G558" i="29"/>
  <c r="T75" i="14"/>
  <c r="T39" i="29"/>
  <c r="P545" i="29"/>
  <c r="M546" i="29"/>
  <c r="M560" i="29" s="1"/>
  <c r="AI141" i="29"/>
  <c r="AI143" i="29"/>
  <c r="AI144" i="29"/>
  <c r="AI151" i="29"/>
  <c r="AI147" i="29"/>
  <c r="AI145" i="29"/>
  <c r="AI146" i="29"/>
  <c r="AI148" i="29"/>
  <c r="AI150" i="29"/>
  <c r="P547" i="29"/>
  <c r="I102" i="14"/>
  <c r="I88" i="14"/>
  <c r="J89" i="14" s="1"/>
  <c r="Q81" i="14"/>
  <c r="Q84" i="14" s="1"/>
  <c r="J100" i="14"/>
  <c r="J96" i="14"/>
  <c r="J97" i="14" s="1"/>
  <c r="V197" i="14"/>
  <c r="V198" i="14"/>
  <c r="V194" i="14"/>
  <c r="V193" i="14"/>
  <c r="V40" i="29" s="1"/>
  <c r="U190" i="14"/>
  <c r="U189" i="14"/>
  <c r="R42" i="14"/>
  <c r="R72" i="14" s="1"/>
  <c r="Y149" i="14"/>
  <c r="X150" i="14"/>
  <c r="P85" i="14"/>
  <c r="Q86" i="14" s="1"/>
  <c r="Q549" i="29"/>
  <c r="W36" i="29"/>
  <c r="T131" i="14"/>
  <c r="U82" i="14" s="1"/>
  <c r="P231" i="14"/>
  <c r="P124" i="14"/>
  <c r="P119" i="14" s="1"/>
  <c r="T41" i="29"/>
  <c r="T22" i="29"/>
  <c r="T500" i="29" s="1"/>
  <c r="T391" i="29"/>
  <c r="S378" i="29"/>
  <c r="S466" i="29" s="1"/>
  <c r="V21" i="14"/>
  <c r="V11" i="29" s="1"/>
  <c r="S17" i="14"/>
  <c r="S203" i="14" s="1"/>
  <c r="R236" i="14" s="1"/>
  <c r="S10" i="29"/>
  <c r="R8" i="29"/>
  <c r="R485" i="29" s="1"/>
  <c r="R112" i="14"/>
  <c r="S14" i="29"/>
  <c r="S22" i="14"/>
  <c r="S205" i="14" s="1"/>
  <c r="R212" i="14"/>
  <c r="T13" i="29"/>
  <c r="T20" i="14"/>
  <c r="T202" i="14" s="1"/>
  <c r="T9" i="29"/>
  <c r="R12" i="29"/>
  <c r="R113" i="14"/>
  <c r="W183" i="29"/>
  <c r="H543" i="29" l="1"/>
  <c r="H544" i="29" s="1"/>
  <c r="G250" i="14"/>
  <c r="O417" i="29"/>
  <c r="R448" i="29"/>
  <c r="M517" i="29"/>
  <c r="M430" i="29"/>
  <c r="N428" i="29"/>
  <c r="AI428" i="29" s="1"/>
  <c r="N182" i="29"/>
  <c r="N429" i="29" s="1"/>
  <c r="N517" i="29" s="1"/>
  <c r="V289" i="29"/>
  <c r="T330" i="29"/>
  <c r="T331" i="29" s="1"/>
  <c r="O421" i="29"/>
  <c r="Q42" i="29"/>
  <c r="V303" i="29"/>
  <c r="O526" i="29"/>
  <c r="O420" i="29"/>
  <c r="U307" i="29"/>
  <c r="U437" i="29" s="1"/>
  <c r="U305" i="29"/>
  <c r="U434" i="29" s="1"/>
  <c r="U304" i="29"/>
  <c r="U435" i="29" s="1"/>
  <c r="U311" i="29"/>
  <c r="U306" i="29"/>
  <c r="U312" i="29"/>
  <c r="U314" i="29"/>
  <c r="U315" i="29"/>
  <c r="U445" i="29" s="1"/>
  <c r="U309" i="29"/>
  <c r="U439" i="29" s="1"/>
  <c r="U530" i="29" s="1"/>
  <c r="U313" i="29"/>
  <c r="U433" i="29"/>
  <c r="O425" i="29"/>
  <c r="O536" i="29" s="1"/>
  <c r="T76" i="14"/>
  <c r="T122" i="14" s="1"/>
  <c r="Q124" i="14"/>
  <c r="Q119" i="14" s="1"/>
  <c r="Q231" i="14"/>
  <c r="T229" i="14"/>
  <c r="AI427" i="29"/>
  <c r="R514" i="29"/>
  <c r="R486" i="29"/>
  <c r="R484" i="29" s="1"/>
  <c r="Q140" i="29"/>
  <c r="Q168" i="29"/>
  <c r="Q154" i="29"/>
  <c r="T378" i="29"/>
  <c r="T466" i="29" s="1"/>
  <c r="T505" i="29"/>
  <c r="T506" i="29" s="1"/>
  <c r="U443" i="29"/>
  <c r="P177" i="29"/>
  <c r="P169" i="29"/>
  <c r="P179" i="29"/>
  <c r="P170" i="29"/>
  <c r="P174" i="29"/>
  <c r="P173" i="29"/>
  <c r="P176" i="29"/>
  <c r="P175" i="29"/>
  <c r="P171" i="29"/>
  <c r="P178" i="29"/>
  <c r="P180" i="29"/>
  <c r="P172" i="29"/>
  <c r="P146" i="29"/>
  <c r="P142" i="29"/>
  <c r="P149" i="29"/>
  <c r="P141" i="29"/>
  <c r="P143" i="29"/>
  <c r="P147" i="29"/>
  <c r="P144" i="29"/>
  <c r="P148" i="29"/>
  <c r="P145" i="29"/>
  <c r="P526" i="29" s="1"/>
  <c r="P152" i="29"/>
  <c r="P151" i="29"/>
  <c r="P150" i="29"/>
  <c r="R414" i="29"/>
  <c r="R516" i="29" s="1"/>
  <c r="R490" i="29"/>
  <c r="P163" i="29"/>
  <c r="P165" i="29"/>
  <c r="P161" i="29"/>
  <c r="P155" i="29"/>
  <c r="P160" i="29"/>
  <c r="P159" i="29"/>
  <c r="P157" i="29"/>
  <c r="P164" i="29"/>
  <c r="P158" i="29"/>
  <c r="P162" i="29"/>
  <c r="P166" i="29"/>
  <c r="P156" i="29"/>
  <c r="T532" i="29"/>
  <c r="T530" i="29"/>
  <c r="AI424" i="29"/>
  <c r="N535" i="29"/>
  <c r="AI535" i="29" s="1"/>
  <c r="AI425" i="29"/>
  <c r="N536" i="29"/>
  <c r="AI536" i="29" s="1"/>
  <c r="R21" i="29"/>
  <c r="R499" i="29" s="1"/>
  <c r="R513" i="29"/>
  <c r="O424" i="29"/>
  <c r="O535" i="29" s="1"/>
  <c r="U440" i="29"/>
  <c r="O418" i="29"/>
  <c r="AI416" i="29"/>
  <c r="N521" i="29"/>
  <c r="AI521" i="29" s="1"/>
  <c r="O416" i="29"/>
  <c r="O521" i="29" s="1"/>
  <c r="P415" i="29"/>
  <c r="S448" i="29"/>
  <c r="R390" i="29"/>
  <c r="R477" i="29" s="1"/>
  <c r="R479" i="29" s="1"/>
  <c r="R478" i="29"/>
  <c r="U444" i="29"/>
  <c r="O422" i="29"/>
  <c r="Q390" i="29"/>
  <c r="Q477" i="29" s="1"/>
  <c r="Q479" i="29" s="1"/>
  <c r="Q478" i="29"/>
  <c r="U441" i="29"/>
  <c r="O427" i="29"/>
  <c r="O538" i="29" s="1"/>
  <c r="W287" i="29"/>
  <c r="W317" i="29" s="1"/>
  <c r="W432" i="29"/>
  <c r="U436" i="29"/>
  <c r="O423" i="29"/>
  <c r="O426" i="29"/>
  <c r="O537" i="29" s="1"/>
  <c r="T227" i="29"/>
  <c r="T446" i="29"/>
  <c r="U438" i="29"/>
  <c r="U529" i="29" s="1"/>
  <c r="V433" i="29"/>
  <c r="V320" i="29"/>
  <c r="V326" i="29"/>
  <c r="V322" i="29"/>
  <c r="V324" i="29"/>
  <c r="V329" i="29"/>
  <c r="V321" i="29"/>
  <c r="V327" i="29"/>
  <c r="V325" i="29"/>
  <c r="V328" i="29"/>
  <c r="V323" i="29"/>
  <c r="V195" i="29"/>
  <c r="V193" i="29"/>
  <c r="V191" i="29"/>
  <c r="V196" i="29"/>
  <c r="V192" i="29"/>
  <c r="V197" i="29"/>
  <c r="V194" i="29"/>
  <c r="V188" i="29"/>
  <c r="V190" i="29"/>
  <c r="V189" i="29"/>
  <c r="V296" i="29"/>
  <c r="V301" i="29"/>
  <c r="V300" i="29"/>
  <c r="V298" i="29"/>
  <c r="V293" i="29"/>
  <c r="V295" i="29"/>
  <c r="V299" i="29"/>
  <c r="V292" i="29"/>
  <c r="V297" i="29"/>
  <c r="V294" i="29"/>
  <c r="V211" i="29"/>
  <c r="V208" i="29"/>
  <c r="V202" i="29"/>
  <c r="V210" i="29"/>
  <c r="V203" i="29"/>
  <c r="V204" i="29"/>
  <c r="V206" i="29"/>
  <c r="V207" i="29"/>
  <c r="V209" i="29"/>
  <c r="V205" i="29"/>
  <c r="V224" i="29"/>
  <c r="V222" i="29"/>
  <c r="V218" i="29"/>
  <c r="V220" i="29"/>
  <c r="V221" i="29"/>
  <c r="V216" i="29"/>
  <c r="V223" i="29"/>
  <c r="V217" i="29"/>
  <c r="V225" i="29"/>
  <c r="V219" i="29"/>
  <c r="W199" i="29"/>
  <c r="W185" i="29"/>
  <c r="W213" i="29"/>
  <c r="V311" i="29"/>
  <c r="V313" i="29"/>
  <c r="V309" i="29"/>
  <c r="V308" i="29"/>
  <c r="V307" i="29"/>
  <c r="V312" i="29"/>
  <c r="V310" i="29"/>
  <c r="V314" i="29"/>
  <c r="V306" i="29"/>
  <c r="V315" i="29"/>
  <c r="V291" i="29"/>
  <c r="V290" i="29"/>
  <c r="V304" i="29"/>
  <c r="V305" i="29"/>
  <c r="V318" i="29"/>
  <c r="V319" i="29"/>
  <c r="S31" i="29"/>
  <c r="R138" i="29"/>
  <c r="U226" i="29"/>
  <c r="V214" i="29"/>
  <c r="V215" i="29"/>
  <c r="V186" i="29"/>
  <c r="V187" i="29"/>
  <c r="O181" i="29"/>
  <c r="V201" i="29"/>
  <c r="V200" i="29"/>
  <c r="AI181" i="29"/>
  <c r="AI182" i="29" s="1"/>
  <c r="P559" i="29"/>
  <c r="O563" i="29"/>
  <c r="P563" i="29" s="1"/>
  <c r="Q563" i="29" s="1"/>
  <c r="R563" i="29" s="1"/>
  <c r="AI563" i="29"/>
  <c r="P561" i="29"/>
  <c r="U75" i="14"/>
  <c r="U39" i="29"/>
  <c r="U505" i="29" s="1"/>
  <c r="U506" i="29" s="1"/>
  <c r="Q545" i="29"/>
  <c r="Q85" i="14"/>
  <c r="R86" i="14" s="1"/>
  <c r="S387" i="29"/>
  <c r="S475" i="29" s="1"/>
  <c r="S388" i="29"/>
  <c r="S476" i="29" s="1"/>
  <c r="S385" i="29"/>
  <c r="S473" i="29" s="1"/>
  <c r="S386" i="29"/>
  <c r="S474" i="29" s="1"/>
  <c r="T385" i="29"/>
  <c r="T473" i="29" s="1"/>
  <c r="AJ228" i="29"/>
  <c r="Q547" i="29"/>
  <c r="K98" i="14"/>
  <c r="K99" i="14" s="1"/>
  <c r="I104" i="14"/>
  <c r="I103" i="14"/>
  <c r="J93" i="14"/>
  <c r="V190" i="14"/>
  <c r="V189" i="14"/>
  <c r="W194" i="14"/>
  <c r="W193" i="14"/>
  <c r="W40" i="29" s="1"/>
  <c r="W198" i="14"/>
  <c r="W197" i="14"/>
  <c r="S42" i="14"/>
  <c r="S72" i="14" s="1"/>
  <c r="Z149" i="14"/>
  <c r="Y150" i="14"/>
  <c r="S382" i="29"/>
  <c r="S470" i="29" s="1"/>
  <c r="S381" i="29"/>
  <c r="S469" i="29" s="1"/>
  <c r="S383" i="29"/>
  <c r="S471" i="29" s="1"/>
  <c r="S384" i="29"/>
  <c r="S472" i="29" s="1"/>
  <c r="X36" i="29"/>
  <c r="S379" i="29"/>
  <c r="S467" i="29" s="1"/>
  <c r="S380" i="29"/>
  <c r="S468" i="29" s="1"/>
  <c r="U131" i="14"/>
  <c r="V82" i="14" s="1"/>
  <c r="R81" i="14"/>
  <c r="R85" i="14" s="1"/>
  <c r="S86" i="14" s="1"/>
  <c r="S156" i="14"/>
  <c r="U41" i="29"/>
  <c r="U22" i="29"/>
  <c r="U500" i="29" s="1"/>
  <c r="U391" i="29"/>
  <c r="W21" i="14"/>
  <c r="W11" i="29" s="1"/>
  <c r="AJ33" i="29"/>
  <c r="T17" i="14"/>
  <c r="T203" i="14" s="1"/>
  <c r="S236" i="14" s="1"/>
  <c r="T10" i="29"/>
  <c r="U9" i="29"/>
  <c r="U20" i="14"/>
  <c r="U202" i="14" s="1"/>
  <c r="S113" i="14"/>
  <c r="S12" i="29"/>
  <c r="T14" i="29"/>
  <c r="T22" i="14"/>
  <c r="T205" i="14" s="1"/>
  <c r="S112" i="14"/>
  <c r="S8" i="29"/>
  <c r="S485" i="29" s="1"/>
  <c r="U13" i="29"/>
  <c r="S212" i="14"/>
  <c r="X183" i="29"/>
  <c r="T379" i="29" l="1"/>
  <c r="T467" i="29" s="1"/>
  <c r="T386" i="29"/>
  <c r="T474" i="29" s="1"/>
  <c r="T383" i="29"/>
  <c r="T471" i="29" s="1"/>
  <c r="T447" i="29"/>
  <c r="N430" i="29"/>
  <c r="O428" i="29"/>
  <c r="O182" i="29"/>
  <c r="O429" i="29" s="1"/>
  <c r="O517" i="29" s="1"/>
  <c r="AI429" i="29"/>
  <c r="AI517" i="29" s="1"/>
  <c r="U532" i="29"/>
  <c r="U330" i="29"/>
  <c r="U331" i="29" s="1"/>
  <c r="U442" i="29"/>
  <c r="W303" i="29"/>
  <c r="W309" i="29" s="1"/>
  <c r="V437" i="29"/>
  <c r="P420" i="29"/>
  <c r="T382" i="29"/>
  <c r="T470" i="29" s="1"/>
  <c r="T381" i="29"/>
  <c r="T469" i="29" s="1"/>
  <c r="T384" i="29"/>
  <c r="T472" i="29" s="1"/>
  <c r="R42" i="29"/>
  <c r="T380" i="29"/>
  <c r="T468" i="29" s="1"/>
  <c r="T388" i="29"/>
  <c r="T476" i="29" s="1"/>
  <c r="T387" i="29"/>
  <c r="T475" i="29" s="1"/>
  <c r="U229" i="14"/>
  <c r="P422" i="29"/>
  <c r="W289" i="29"/>
  <c r="W295" i="29" s="1"/>
  <c r="Q157" i="29"/>
  <c r="Q159" i="29"/>
  <c r="Q160" i="29"/>
  <c r="Q155" i="29"/>
  <c r="Q162" i="29"/>
  <c r="Q163" i="29"/>
  <c r="Q158" i="29"/>
  <c r="Q165" i="29"/>
  <c r="Q164" i="29"/>
  <c r="Q166" i="29"/>
  <c r="Q161" i="29"/>
  <c r="Q156" i="29"/>
  <c r="T539" i="29"/>
  <c r="T549" i="29" s="1"/>
  <c r="Q173" i="29"/>
  <c r="Q169" i="29"/>
  <c r="Q176" i="29"/>
  <c r="Q179" i="29"/>
  <c r="Q170" i="29"/>
  <c r="Q180" i="29"/>
  <c r="Q177" i="29"/>
  <c r="Q174" i="29"/>
  <c r="Q178" i="29"/>
  <c r="Q175" i="29"/>
  <c r="Q172" i="29"/>
  <c r="Q171" i="29"/>
  <c r="Q147" i="29"/>
  <c r="Q150" i="29"/>
  <c r="Q145" i="29"/>
  <c r="Q151" i="29"/>
  <c r="Q146" i="29"/>
  <c r="Q144" i="29"/>
  <c r="Q143" i="29"/>
  <c r="Q149" i="29"/>
  <c r="Q142" i="29"/>
  <c r="Q148" i="29"/>
  <c r="Q141" i="29"/>
  <c r="Q152" i="29"/>
  <c r="S514" i="29"/>
  <c r="S486" i="29"/>
  <c r="S484" i="29" s="1"/>
  <c r="R168" i="29"/>
  <c r="R140" i="29"/>
  <c r="R154" i="29"/>
  <c r="S414" i="29"/>
  <c r="S516" i="29" s="1"/>
  <c r="S490" i="29"/>
  <c r="S539" i="29"/>
  <c r="S549" i="29" s="1"/>
  <c r="S563" i="29" s="1"/>
  <c r="H520" i="29"/>
  <c r="H522" i="29" s="1"/>
  <c r="H528" i="29"/>
  <c r="H558" i="29" s="1"/>
  <c r="P418" i="29"/>
  <c r="V442" i="29"/>
  <c r="S21" i="29"/>
  <c r="S499" i="29" s="1"/>
  <c r="S513" i="29"/>
  <c r="P419" i="29"/>
  <c r="V439" i="29"/>
  <c r="V434" i="29"/>
  <c r="P416" i="29"/>
  <c r="P424" i="29"/>
  <c r="P535" i="29" s="1"/>
  <c r="V438" i="29"/>
  <c r="V529" i="29" s="1"/>
  <c r="V443" i="29"/>
  <c r="U227" i="29"/>
  <c r="P417" i="29"/>
  <c r="V441" i="29"/>
  <c r="X287" i="29"/>
  <c r="X317" i="29" s="1"/>
  <c r="X432" i="29"/>
  <c r="V435" i="29"/>
  <c r="P426" i="29"/>
  <c r="P537" i="29" s="1"/>
  <c r="V436" i="29"/>
  <c r="P421" i="29"/>
  <c r="V445" i="29"/>
  <c r="T448" i="29"/>
  <c r="Q415" i="29"/>
  <c r="P425" i="29"/>
  <c r="P536" i="29" s="1"/>
  <c r="P423" i="29"/>
  <c r="V440" i="29"/>
  <c r="P427" i="29"/>
  <c r="P538" i="29" s="1"/>
  <c r="V444" i="29"/>
  <c r="W196" i="29"/>
  <c r="W194" i="29"/>
  <c r="W188" i="29"/>
  <c r="W190" i="29"/>
  <c r="W191" i="29"/>
  <c r="W189" i="29"/>
  <c r="W192" i="29"/>
  <c r="W193" i="29"/>
  <c r="W197" i="29"/>
  <c r="W195" i="29"/>
  <c r="W210" i="29"/>
  <c r="W209" i="29"/>
  <c r="W203" i="29"/>
  <c r="W204" i="29"/>
  <c r="W205" i="29"/>
  <c r="W211" i="29"/>
  <c r="W207" i="29"/>
  <c r="W202" i="29"/>
  <c r="W206" i="29"/>
  <c r="W208" i="29"/>
  <c r="S389" i="29"/>
  <c r="W314" i="29"/>
  <c r="W315" i="29"/>
  <c r="W313" i="29"/>
  <c r="W298" i="29"/>
  <c r="W325" i="29"/>
  <c r="W320" i="29"/>
  <c r="W323" i="29"/>
  <c r="W322" i="29"/>
  <c r="W327" i="29"/>
  <c r="W324" i="29"/>
  <c r="W326" i="29"/>
  <c r="W328" i="29"/>
  <c r="W329" i="29"/>
  <c r="W321" i="29"/>
  <c r="X213" i="29"/>
  <c r="X185" i="29"/>
  <c r="X199" i="29"/>
  <c r="T389" i="29"/>
  <c r="W222" i="29"/>
  <c r="W225" i="29"/>
  <c r="W223" i="29"/>
  <c r="W224" i="29"/>
  <c r="W220" i="29"/>
  <c r="W219" i="29"/>
  <c r="W221" i="29"/>
  <c r="W217" i="29"/>
  <c r="W216" i="29"/>
  <c r="W218" i="29"/>
  <c r="W304" i="29"/>
  <c r="W318" i="29"/>
  <c r="W319" i="29"/>
  <c r="V330" i="29"/>
  <c r="V331" i="29" s="1"/>
  <c r="W200" i="29"/>
  <c r="W201" i="29"/>
  <c r="V226" i="29"/>
  <c r="P181" i="29"/>
  <c r="W214" i="29"/>
  <c r="W215" i="29"/>
  <c r="W187" i="29"/>
  <c r="W186" i="29"/>
  <c r="T31" i="29"/>
  <c r="S138" i="29"/>
  <c r="U76" i="14"/>
  <c r="U122" i="14" s="1"/>
  <c r="Q559" i="29"/>
  <c r="Q561" i="29"/>
  <c r="V75" i="14"/>
  <c r="V39" i="29"/>
  <c r="V505" i="29" s="1"/>
  <c r="V506" i="29" s="1"/>
  <c r="C193" i="52"/>
  <c r="N546" i="29"/>
  <c r="R545" i="29"/>
  <c r="O546" i="29"/>
  <c r="AJ238" i="29"/>
  <c r="AJ237" i="29"/>
  <c r="AJ239" i="29"/>
  <c r="AJ241" i="29"/>
  <c r="AJ236" i="29"/>
  <c r="AJ242" i="29"/>
  <c r="AJ234" i="29"/>
  <c r="AJ240" i="29"/>
  <c r="AJ235" i="29"/>
  <c r="AJ233" i="29"/>
  <c r="AJ270" i="29"/>
  <c r="AJ264" i="29"/>
  <c r="AJ265" i="29"/>
  <c r="AJ266" i="29"/>
  <c r="AJ267" i="29"/>
  <c r="AJ261" i="29"/>
  <c r="AJ262" i="29"/>
  <c r="AJ269" i="29"/>
  <c r="AJ268" i="29"/>
  <c r="AJ263" i="29"/>
  <c r="AJ250" i="29"/>
  <c r="AJ249" i="29"/>
  <c r="AJ251" i="29"/>
  <c r="AJ254" i="29"/>
  <c r="AJ247" i="29"/>
  <c r="AJ256" i="29"/>
  <c r="AJ248" i="29"/>
  <c r="AJ252" i="29"/>
  <c r="AJ253" i="29"/>
  <c r="AJ255" i="29"/>
  <c r="AJ231" i="29"/>
  <c r="AJ232" i="29"/>
  <c r="AJ230" i="29"/>
  <c r="AJ245" i="29"/>
  <c r="AJ246" i="29"/>
  <c r="AJ244" i="29"/>
  <c r="AJ259" i="29"/>
  <c r="AJ260" i="29"/>
  <c r="AJ258" i="29"/>
  <c r="R547" i="29"/>
  <c r="J90" i="14"/>
  <c r="J91" i="14" s="1"/>
  <c r="K92" i="14" s="1"/>
  <c r="J94" i="14"/>
  <c r="J101" i="14"/>
  <c r="I83" i="14"/>
  <c r="I228" i="14" s="1"/>
  <c r="I17" i="29"/>
  <c r="K100" i="14"/>
  <c r="X198" i="14"/>
  <c r="X197" i="14"/>
  <c r="X193" i="14"/>
  <c r="X40" i="29" s="1"/>
  <c r="X194" i="14"/>
  <c r="W190" i="14"/>
  <c r="W189" i="14"/>
  <c r="T42" i="14"/>
  <c r="T72" i="14" s="1"/>
  <c r="T156" i="14"/>
  <c r="AA149" i="14"/>
  <c r="Z150" i="14"/>
  <c r="R84" i="14"/>
  <c r="S81" i="14"/>
  <c r="S84" i="14" s="1"/>
  <c r="Y36" i="29"/>
  <c r="AJ332" i="29"/>
  <c r="AJ183" i="29"/>
  <c r="V131" i="14"/>
  <c r="W82" i="14" s="1"/>
  <c r="R124" i="14"/>
  <c r="R119" i="14" s="1"/>
  <c r="R231" i="14"/>
  <c r="S231" i="14"/>
  <c r="S124" i="14"/>
  <c r="S119" i="14" s="1"/>
  <c r="U378" i="29"/>
  <c r="U466" i="29" s="1"/>
  <c r="V41" i="29"/>
  <c r="V22" i="29"/>
  <c r="V500" i="29" s="1"/>
  <c r="V391" i="29"/>
  <c r="X21" i="14"/>
  <c r="X11" i="29" s="1"/>
  <c r="AJ11" i="29" s="1"/>
  <c r="AJ28" i="29"/>
  <c r="V13" i="29"/>
  <c r="V20" i="14"/>
  <c r="V202" i="14" s="1"/>
  <c r="V9" i="29"/>
  <c r="U14" i="29"/>
  <c r="U22" i="14"/>
  <c r="U205" i="14" s="1"/>
  <c r="U10" i="29"/>
  <c r="U17" i="14"/>
  <c r="U203" i="14" s="1"/>
  <c r="T236" i="14" s="1"/>
  <c r="T112" i="14"/>
  <c r="T8" i="29"/>
  <c r="T485" i="29" s="1"/>
  <c r="T12" i="29"/>
  <c r="T113" i="14"/>
  <c r="T212" i="14"/>
  <c r="Y183" i="29"/>
  <c r="AJ32" i="29"/>
  <c r="AJ29" i="29"/>
  <c r="AJ36" i="29"/>
  <c r="I232" i="14" l="1"/>
  <c r="H247" i="14"/>
  <c r="U446" i="29"/>
  <c r="U447" i="29"/>
  <c r="U448" i="29" s="1"/>
  <c r="P428" i="29"/>
  <c r="P182" i="29"/>
  <c r="P429" i="29" s="1"/>
  <c r="P517" i="29" s="1"/>
  <c r="W310" i="29"/>
  <c r="W312" i="29"/>
  <c r="W311" i="29"/>
  <c r="W307" i="29"/>
  <c r="AI430" i="29"/>
  <c r="O430" i="29"/>
  <c r="Q416" i="29"/>
  <c r="Q521" i="29" s="1"/>
  <c r="W306" i="29"/>
  <c r="W433" i="29"/>
  <c r="W308" i="29"/>
  <c r="W305" i="29"/>
  <c r="Q417" i="29"/>
  <c r="W291" i="29"/>
  <c r="W294" i="29"/>
  <c r="W438" i="29" s="1"/>
  <c r="W529" i="29" s="1"/>
  <c r="AJ287" i="29"/>
  <c r="W299" i="29"/>
  <c r="W297" i="29"/>
  <c r="W292" i="29"/>
  <c r="W301" i="29"/>
  <c r="W445" i="29" s="1"/>
  <c r="X289" i="29"/>
  <c r="W293" i="29"/>
  <c r="W437" i="29" s="1"/>
  <c r="W290" i="29"/>
  <c r="W435" i="29" s="1"/>
  <c r="W296" i="29"/>
  <c r="W440" i="29" s="1"/>
  <c r="W300" i="29"/>
  <c r="W444" i="29" s="1"/>
  <c r="V229" i="14"/>
  <c r="Q426" i="29"/>
  <c r="Q537" i="29" s="1"/>
  <c r="I20" i="29"/>
  <c r="I498" i="29" s="1"/>
  <c r="I19" i="29"/>
  <c r="I18" i="29"/>
  <c r="I496" i="29" s="1"/>
  <c r="Q423" i="29"/>
  <c r="T514" i="29"/>
  <c r="T486" i="29"/>
  <c r="T484" i="29" s="1"/>
  <c r="T414" i="29"/>
  <c r="T516" i="29" s="1"/>
  <c r="T490" i="29"/>
  <c r="Q526" i="29"/>
  <c r="X303" i="29"/>
  <c r="X311" i="29" s="1"/>
  <c r="R164" i="29"/>
  <c r="R160" i="29"/>
  <c r="R158" i="29"/>
  <c r="R162" i="29"/>
  <c r="R156" i="29"/>
  <c r="R157" i="29"/>
  <c r="R155" i="29"/>
  <c r="R159" i="29"/>
  <c r="R161" i="29"/>
  <c r="R165" i="29"/>
  <c r="R163" i="29"/>
  <c r="R166" i="29"/>
  <c r="R145" i="29"/>
  <c r="R141" i="29"/>
  <c r="R144" i="29"/>
  <c r="R146" i="29"/>
  <c r="R148" i="29"/>
  <c r="R152" i="29"/>
  <c r="R150" i="29"/>
  <c r="R143" i="29"/>
  <c r="R151" i="29"/>
  <c r="R149" i="29"/>
  <c r="R147" i="29"/>
  <c r="R142" i="29"/>
  <c r="S168" i="29"/>
  <c r="S140" i="29"/>
  <c r="S154" i="29"/>
  <c r="R174" i="29"/>
  <c r="R170" i="29"/>
  <c r="R175" i="29"/>
  <c r="R176" i="29"/>
  <c r="R172" i="29"/>
  <c r="R177" i="29"/>
  <c r="R180" i="29"/>
  <c r="R171" i="29"/>
  <c r="R169" i="29"/>
  <c r="R179" i="29"/>
  <c r="R178" i="29"/>
  <c r="R173" i="29"/>
  <c r="V532" i="29"/>
  <c r="V530" i="29"/>
  <c r="Q419" i="29"/>
  <c r="T21" i="29"/>
  <c r="T499" i="29" s="1"/>
  <c r="T513" i="29"/>
  <c r="P521" i="29"/>
  <c r="AJ396" i="29"/>
  <c r="Y287" i="29"/>
  <c r="Y289" i="29" s="1"/>
  <c r="Y432" i="29"/>
  <c r="Q421" i="29"/>
  <c r="R415" i="29"/>
  <c r="W439" i="29"/>
  <c r="Q425" i="29"/>
  <c r="Q536" i="29" s="1"/>
  <c r="W443" i="29"/>
  <c r="W442" i="29"/>
  <c r="Q420" i="29"/>
  <c r="Q422" i="29"/>
  <c r="Q418" i="29"/>
  <c r="Q427" i="29"/>
  <c r="Q538" i="29" s="1"/>
  <c r="S390" i="29"/>
  <c r="S477" i="29" s="1"/>
  <c r="S479" i="29" s="1"/>
  <c r="S478" i="29"/>
  <c r="W434" i="29"/>
  <c r="AJ432" i="29"/>
  <c r="V227" i="29"/>
  <c r="V447" i="29" s="1"/>
  <c r="V446" i="29"/>
  <c r="T390" i="29"/>
  <c r="T477" i="29" s="1"/>
  <c r="T479" i="29" s="1"/>
  <c r="T478" i="29"/>
  <c r="Q424" i="29"/>
  <c r="Q535" i="29" s="1"/>
  <c r="X211" i="29"/>
  <c r="X202" i="29"/>
  <c r="AJ202" i="29" s="1"/>
  <c r="X210" i="29"/>
  <c r="X204" i="29"/>
  <c r="AJ204" i="29" s="1"/>
  <c r="X205" i="29"/>
  <c r="AJ205" i="29" s="1"/>
  <c r="X206" i="29"/>
  <c r="AJ206" i="29" s="1"/>
  <c r="X208" i="29"/>
  <c r="X209" i="29"/>
  <c r="X207" i="29"/>
  <c r="X203" i="29"/>
  <c r="AJ203" i="29" s="1"/>
  <c r="X301" i="29"/>
  <c r="X292" i="29"/>
  <c r="X295" i="29"/>
  <c r="X297" i="29"/>
  <c r="X293" i="29"/>
  <c r="X294" i="29"/>
  <c r="X299" i="29"/>
  <c r="X298" i="29"/>
  <c r="X300" i="29"/>
  <c r="X296" i="29"/>
  <c r="X221" i="29"/>
  <c r="X216" i="29"/>
  <c r="AJ216" i="29" s="1"/>
  <c r="X217" i="29"/>
  <c r="AJ217" i="29" s="1"/>
  <c r="X224" i="29"/>
  <c r="X225" i="29"/>
  <c r="X220" i="29"/>
  <c r="AJ220" i="29" s="1"/>
  <c r="X219" i="29"/>
  <c r="AJ219" i="29" s="1"/>
  <c r="X223" i="29"/>
  <c r="X222" i="29"/>
  <c r="X218" i="29"/>
  <c r="AJ218" i="29" s="1"/>
  <c r="Y199" i="29"/>
  <c r="Y213" i="29"/>
  <c r="Y185" i="29"/>
  <c r="X191" i="29"/>
  <c r="AJ191" i="29" s="1"/>
  <c r="X192" i="29"/>
  <c r="X193" i="29"/>
  <c r="X189" i="29"/>
  <c r="AJ189" i="29" s="1"/>
  <c r="X196" i="29"/>
  <c r="X195" i="29"/>
  <c r="X188" i="29"/>
  <c r="AJ188" i="29" s="1"/>
  <c r="X197" i="29"/>
  <c r="X190" i="29"/>
  <c r="X194" i="29"/>
  <c r="X320" i="29"/>
  <c r="X324" i="29"/>
  <c r="X323" i="29"/>
  <c r="X327" i="29"/>
  <c r="X328" i="29"/>
  <c r="X329" i="29"/>
  <c r="X321" i="29"/>
  <c r="X322" i="29"/>
  <c r="X325" i="29"/>
  <c r="X326" i="29"/>
  <c r="X312" i="29"/>
  <c r="X306" i="29"/>
  <c r="X313" i="29"/>
  <c r="X318" i="29"/>
  <c r="X319" i="29"/>
  <c r="X291" i="29"/>
  <c r="X290" i="29"/>
  <c r="X214" i="29"/>
  <c r="AJ214" i="29" s="1"/>
  <c r="X215" i="29"/>
  <c r="AJ215" i="29" s="1"/>
  <c r="X186" i="29"/>
  <c r="AJ186" i="29" s="1"/>
  <c r="X187" i="29"/>
  <c r="AJ187" i="29" s="1"/>
  <c r="X201" i="29"/>
  <c r="AJ201" i="29" s="1"/>
  <c r="X200" i="29"/>
  <c r="AJ200" i="29" s="1"/>
  <c r="U31" i="29"/>
  <c r="T138" i="29"/>
  <c r="Q181" i="29"/>
  <c r="W226" i="29"/>
  <c r="T563" i="29"/>
  <c r="H540" i="29"/>
  <c r="V76" i="14"/>
  <c r="V122" i="14" s="1"/>
  <c r="R559" i="29"/>
  <c r="AI546" i="29"/>
  <c r="N560" i="29"/>
  <c r="R561" i="29"/>
  <c r="W75" i="14"/>
  <c r="W39" i="29"/>
  <c r="AJ40" i="29"/>
  <c r="S545" i="29"/>
  <c r="P546" i="29"/>
  <c r="U388" i="29"/>
  <c r="U476" i="29" s="1"/>
  <c r="U385" i="29"/>
  <c r="U473" i="29" s="1"/>
  <c r="U386" i="29"/>
  <c r="U474" i="29" s="1"/>
  <c r="U387" i="29"/>
  <c r="U475" i="29" s="1"/>
  <c r="S547" i="29"/>
  <c r="AJ271" i="29"/>
  <c r="AJ272" i="29"/>
  <c r="J87" i="14"/>
  <c r="J102" i="14" s="1"/>
  <c r="J103" i="14" s="1"/>
  <c r="I105" i="14"/>
  <c r="I107" i="14" s="1"/>
  <c r="J106" i="14" s="1"/>
  <c r="I117" i="14"/>
  <c r="I111" i="14" s="1"/>
  <c r="K95" i="14"/>
  <c r="U42" i="14"/>
  <c r="U72" i="14" s="1"/>
  <c r="X189" i="14"/>
  <c r="X190" i="14"/>
  <c r="Y194" i="14"/>
  <c r="Y193" i="14"/>
  <c r="Y40" i="29" s="1"/>
  <c r="Y198" i="14"/>
  <c r="Y197" i="14"/>
  <c r="AB149" i="14"/>
  <c r="AA150" i="14"/>
  <c r="S85" i="14"/>
  <c r="T86" i="14" s="1"/>
  <c r="S42" i="29"/>
  <c r="AJ364" i="29"/>
  <c r="AJ363" i="29"/>
  <c r="AJ336" i="29"/>
  <c r="AJ335" i="29"/>
  <c r="AJ350" i="29"/>
  <c r="AJ349" i="29"/>
  <c r="U381" i="29"/>
  <c r="U469" i="29" s="1"/>
  <c r="U382" i="29"/>
  <c r="U470" i="29" s="1"/>
  <c r="AJ339" i="29"/>
  <c r="AJ340" i="29"/>
  <c r="AJ341" i="29"/>
  <c r="AJ354" i="29"/>
  <c r="AJ355" i="29"/>
  <c r="AJ353" i="29"/>
  <c r="AJ367" i="29"/>
  <c r="AJ368" i="29"/>
  <c r="AJ369" i="29"/>
  <c r="U384" i="29"/>
  <c r="U472" i="29" s="1"/>
  <c r="U383" i="29"/>
  <c r="U471" i="29" s="1"/>
  <c r="AJ284" i="29"/>
  <c r="AJ460" i="29" s="1"/>
  <c r="Z36" i="29"/>
  <c r="AJ273" i="29"/>
  <c r="AJ449" i="29" s="1"/>
  <c r="AJ348" i="29"/>
  <c r="AJ362" i="29"/>
  <c r="AJ334" i="29"/>
  <c r="AJ213" i="29"/>
  <c r="AJ199" i="29"/>
  <c r="AJ185" i="29"/>
  <c r="AJ47" i="29"/>
  <c r="AJ92" i="29"/>
  <c r="W131" i="14"/>
  <c r="X82" i="14" s="1"/>
  <c r="V378" i="29"/>
  <c r="V466" i="29" s="1"/>
  <c r="U379" i="29"/>
  <c r="U467" i="29" s="1"/>
  <c r="U380" i="29"/>
  <c r="U468" i="29" s="1"/>
  <c r="W41" i="29"/>
  <c r="W22" i="29"/>
  <c r="W500" i="29" s="1"/>
  <c r="W391" i="29"/>
  <c r="U156" i="14"/>
  <c r="Y21" i="14"/>
  <c r="Y11" i="29" s="1"/>
  <c r="U212" i="14"/>
  <c r="U112" i="14"/>
  <c r="U8" i="29"/>
  <c r="U485" i="29" s="1"/>
  <c r="U12" i="29"/>
  <c r="U113" i="14"/>
  <c r="W20" i="14"/>
  <c r="W202" i="14" s="1"/>
  <c r="W9" i="29"/>
  <c r="V14" i="29"/>
  <c r="V22" i="14"/>
  <c r="V205" i="14" s="1"/>
  <c r="V10" i="29"/>
  <c r="V17" i="14"/>
  <c r="V203" i="14" s="1"/>
  <c r="U236" i="14" s="1"/>
  <c r="W13" i="29"/>
  <c r="Z183" i="29"/>
  <c r="H249" i="14" l="1"/>
  <c r="X315" i="29"/>
  <c r="X307" i="29"/>
  <c r="X308" i="29"/>
  <c r="X304" i="29"/>
  <c r="X433" i="29"/>
  <c r="X309" i="29"/>
  <c r="X305" i="29"/>
  <c r="X310" i="29"/>
  <c r="X314" i="29"/>
  <c r="W441" i="29"/>
  <c r="W436" i="29"/>
  <c r="Q428" i="29"/>
  <c r="Q182" i="29"/>
  <c r="Q429" i="29" s="1"/>
  <c r="Q517" i="29" s="1"/>
  <c r="P430" i="29"/>
  <c r="Y317" i="29"/>
  <c r="Y321" i="29" s="1"/>
  <c r="R418" i="29"/>
  <c r="T42" i="29"/>
  <c r="W330" i="29"/>
  <c r="W331" i="29" s="1"/>
  <c r="Y303" i="29"/>
  <c r="W76" i="14"/>
  <c r="W122" i="14" s="1"/>
  <c r="V124" i="14" s="1"/>
  <c r="V119" i="14" s="1"/>
  <c r="U539" i="29"/>
  <c r="V448" i="29"/>
  <c r="U414" i="29"/>
  <c r="U516" i="29" s="1"/>
  <c r="U490" i="29"/>
  <c r="S152" i="29"/>
  <c r="S142" i="29"/>
  <c r="S147" i="29"/>
  <c r="S146" i="29"/>
  <c r="S144" i="29"/>
  <c r="S141" i="29"/>
  <c r="S145" i="29"/>
  <c r="S143" i="29"/>
  <c r="S151" i="29"/>
  <c r="S149" i="29"/>
  <c r="S150" i="29"/>
  <c r="S148" i="29"/>
  <c r="U514" i="29"/>
  <c r="U486" i="29"/>
  <c r="U484" i="29" s="1"/>
  <c r="S173" i="29"/>
  <c r="S172" i="29"/>
  <c r="S177" i="29"/>
  <c r="S174" i="29"/>
  <c r="S171" i="29"/>
  <c r="S179" i="29"/>
  <c r="S180" i="29"/>
  <c r="S178" i="29"/>
  <c r="S170" i="29"/>
  <c r="S169" i="29"/>
  <c r="S175" i="29"/>
  <c r="S176" i="29"/>
  <c r="W378" i="29"/>
  <c r="W466" i="29" s="1"/>
  <c r="W505" i="29"/>
  <c r="W506" i="29" s="1"/>
  <c r="R526" i="29"/>
  <c r="T168" i="29"/>
  <c r="T154" i="29"/>
  <c r="T140" i="29"/>
  <c r="S161" i="29"/>
  <c r="S158" i="29"/>
  <c r="S163" i="29"/>
  <c r="S157" i="29"/>
  <c r="S159" i="29"/>
  <c r="S165" i="29"/>
  <c r="S164" i="29"/>
  <c r="S156" i="29"/>
  <c r="S155" i="29"/>
  <c r="S162" i="29"/>
  <c r="S166" i="29"/>
  <c r="S160" i="29"/>
  <c r="W532" i="29"/>
  <c r="W530" i="29"/>
  <c r="I534" i="29"/>
  <c r="I497" i="29"/>
  <c r="U21" i="29"/>
  <c r="U499" i="29" s="1"/>
  <c r="U513" i="29"/>
  <c r="X445" i="29"/>
  <c r="AJ445" i="29" s="1"/>
  <c r="R427" i="29"/>
  <c r="R538" i="29" s="1"/>
  <c r="R420" i="29"/>
  <c r="X436" i="29"/>
  <c r="R421" i="29"/>
  <c r="I533" i="29"/>
  <c r="I519" i="29"/>
  <c r="R422" i="29"/>
  <c r="R425" i="29"/>
  <c r="R536" i="29" s="1"/>
  <c r="W227" i="29"/>
  <c r="X443" i="29"/>
  <c r="AJ443" i="29" s="1"/>
  <c r="R417" i="29"/>
  <c r="S415" i="29"/>
  <c r="X437" i="29"/>
  <c r="AJ437" i="29" s="1"/>
  <c r="R423" i="29"/>
  <c r="R416" i="29"/>
  <c r="X434" i="29"/>
  <c r="AJ434" i="29" s="1"/>
  <c r="X441" i="29"/>
  <c r="AJ441" i="29" s="1"/>
  <c r="Y433" i="29"/>
  <c r="R419" i="29"/>
  <c r="X444" i="29"/>
  <c r="AJ444" i="29" s="1"/>
  <c r="X435" i="29"/>
  <c r="AJ435" i="29" s="1"/>
  <c r="X442" i="29"/>
  <c r="AJ442" i="29" s="1"/>
  <c r="X440" i="29"/>
  <c r="AJ440" i="29" s="1"/>
  <c r="R424" i="29"/>
  <c r="R535" i="29" s="1"/>
  <c r="Z287" i="29"/>
  <c r="Z289" i="29" s="1"/>
  <c r="Z432" i="29"/>
  <c r="X438" i="29"/>
  <c r="X439" i="29"/>
  <c r="R426" i="29"/>
  <c r="R537" i="29" s="1"/>
  <c r="Y328" i="29"/>
  <c r="Y326" i="29"/>
  <c r="Y320" i="29"/>
  <c r="U389" i="29"/>
  <c r="Y190" i="29"/>
  <c r="Y196" i="29"/>
  <c r="Y188" i="29"/>
  <c r="Y194" i="29"/>
  <c r="Y195" i="29"/>
  <c r="Y197" i="29"/>
  <c r="Y191" i="29"/>
  <c r="Y189" i="29"/>
  <c r="Y193" i="29"/>
  <c r="Y192" i="29"/>
  <c r="Y309" i="29"/>
  <c r="Y314" i="29"/>
  <c r="Y312" i="29"/>
  <c r="Y311" i="29"/>
  <c r="Y307" i="29"/>
  <c r="Y308" i="29"/>
  <c r="Y315" i="29"/>
  <c r="Y306" i="29"/>
  <c r="Y313" i="29"/>
  <c r="Y310" i="29"/>
  <c r="Y216" i="29"/>
  <c r="Y218" i="29"/>
  <c r="Y217" i="29"/>
  <c r="Y222" i="29"/>
  <c r="Y225" i="29"/>
  <c r="Y221" i="29"/>
  <c r="Y224" i="29"/>
  <c r="Y223" i="29"/>
  <c r="Y219" i="29"/>
  <c r="Y220" i="29"/>
  <c r="Z185" i="29"/>
  <c r="Z213" i="29"/>
  <c r="Z199" i="29"/>
  <c r="Y300" i="29"/>
  <c r="Y299" i="29"/>
  <c r="Y295" i="29"/>
  <c r="Y292" i="29"/>
  <c r="Y297" i="29"/>
  <c r="Y293" i="29"/>
  <c r="Y296" i="29"/>
  <c r="Y294" i="29"/>
  <c r="Y301" i="29"/>
  <c r="Y298" i="29"/>
  <c r="Y211" i="29"/>
  <c r="Y203" i="29"/>
  <c r="Y205" i="29"/>
  <c r="Y206" i="29"/>
  <c r="Y207" i="29"/>
  <c r="Y209" i="29"/>
  <c r="Y202" i="29"/>
  <c r="Y204" i="29"/>
  <c r="Y208" i="29"/>
  <c r="Y210" i="29"/>
  <c r="X330" i="29"/>
  <c r="X331" i="29" s="1"/>
  <c r="Y318" i="29"/>
  <c r="Y305" i="29"/>
  <c r="Y304" i="29"/>
  <c r="Y290" i="29"/>
  <c r="Y291" i="29"/>
  <c r="R181" i="29"/>
  <c r="X226" i="29"/>
  <c r="V31" i="29"/>
  <c r="U138" i="29"/>
  <c r="Y187" i="29"/>
  <c r="Y186" i="29"/>
  <c r="Y201" i="29"/>
  <c r="Y200" i="29"/>
  <c r="Y215" i="29"/>
  <c r="Y214" i="29"/>
  <c r="AJ65" i="29"/>
  <c r="AJ305" i="29"/>
  <c r="AJ304" i="29"/>
  <c r="AJ291" i="29"/>
  <c r="AJ290" i="29"/>
  <c r="AJ95" i="29"/>
  <c r="AJ318" i="29"/>
  <c r="AJ317" i="29"/>
  <c r="AJ303" i="29"/>
  <c r="W229" i="14"/>
  <c r="S559" i="29"/>
  <c r="O560" i="29"/>
  <c r="P560" i="29" s="1"/>
  <c r="AI560" i="29"/>
  <c r="S561" i="29"/>
  <c r="X75" i="14"/>
  <c r="X39" i="29"/>
  <c r="X505" i="29" s="1"/>
  <c r="T545" i="29"/>
  <c r="Q546" i="29"/>
  <c r="AJ289" i="29"/>
  <c r="J88" i="14"/>
  <c r="K89" i="14" s="1"/>
  <c r="AJ319" i="29"/>
  <c r="W385" i="29"/>
  <c r="W473" i="29" s="1"/>
  <c r="W386" i="29"/>
  <c r="W474" i="29" s="1"/>
  <c r="W387" i="29"/>
  <c r="W475" i="29" s="1"/>
  <c r="V388" i="29"/>
  <c r="V476" i="29" s="1"/>
  <c r="V385" i="29"/>
  <c r="V473" i="29" s="1"/>
  <c r="V386" i="29"/>
  <c r="V474" i="29" s="1"/>
  <c r="V387" i="29"/>
  <c r="V475" i="29" s="1"/>
  <c r="AJ314" i="29"/>
  <c r="AJ315" i="29"/>
  <c r="AJ310" i="29"/>
  <c r="AJ311" i="29"/>
  <c r="AJ312" i="29"/>
  <c r="AJ313" i="29"/>
  <c r="AJ307" i="29"/>
  <c r="AJ308" i="29"/>
  <c r="AJ309" i="29"/>
  <c r="AJ306" i="29"/>
  <c r="AJ295" i="29"/>
  <c r="AJ296" i="29"/>
  <c r="AJ297" i="29"/>
  <c r="AJ300" i="29"/>
  <c r="AJ298" i="29"/>
  <c r="AJ299" i="29"/>
  <c r="AJ294" i="29"/>
  <c r="AJ293" i="29"/>
  <c r="AJ301" i="29"/>
  <c r="AJ292" i="29"/>
  <c r="AJ324" i="29"/>
  <c r="AJ325" i="29"/>
  <c r="AJ329" i="29"/>
  <c r="AJ326" i="29"/>
  <c r="AJ327" i="29"/>
  <c r="AJ328" i="29"/>
  <c r="AJ320" i="29"/>
  <c r="AJ321" i="29"/>
  <c r="AJ322" i="29"/>
  <c r="AJ323" i="29"/>
  <c r="T547" i="29"/>
  <c r="AJ190" i="29"/>
  <c r="I23" i="29"/>
  <c r="K101" i="14"/>
  <c r="I126" i="14"/>
  <c r="I128" i="14" s="1"/>
  <c r="J127" i="14" s="1"/>
  <c r="I138" i="14"/>
  <c r="I139" i="14" s="1"/>
  <c r="J104" i="14"/>
  <c r="K96" i="14"/>
  <c r="Z198" i="14"/>
  <c r="Z197" i="14"/>
  <c r="V42" i="14"/>
  <c r="V72" i="14" s="1"/>
  <c r="Z193" i="14"/>
  <c r="Z40" i="29" s="1"/>
  <c r="Z194" i="14"/>
  <c r="Y189" i="14"/>
  <c r="Y190" i="14"/>
  <c r="AC149" i="14"/>
  <c r="AB150" i="14"/>
  <c r="V156" i="14"/>
  <c r="U549" i="29"/>
  <c r="U563" i="29" s="1"/>
  <c r="AJ80" i="29"/>
  <c r="AJ79" i="29"/>
  <c r="AJ78" i="29"/>
  <c r="AJ109" i="29"/>
  <c r="AJ110" i="29"/>
  <c r="AJ96" i="29"/>
  <c r="AJ64" i="29"/>
  <c r="AJ124" i="29"/>
  <c r="AJ123" i="29"/>
  <c r="W381" i="29"/>
  <c r="W469" i="29" s="1"/>
  <c r="V382" i="29"/>
  <c r="V470" i="29" s="1"/>
  <c r="V381" i="29"/>
  <c r="V469" i="29" s="1"/>
  <c r="AJ279" i="29"/>
  <c r="AJ455" i="29" s="1"/>
  <c r="AJ281" i="29"/>
  <c r="AJ358" i="29"/>
  <c r="AJ359" i="29"/>
  <c r="AJ360" i="29"/>
  <c r="AJ357" i="29"/>
  <c r="AJ274" i="29"/>
  <c r="AJ450" i="29" s="1"/>
  <c r="AJ276" i="29"/>
  <c r="AJ452" i="29" s="1"/>
  <c r="AJ374" i="29"/>
  <c r="AJ371" i="29"/>
  <c r="AJ373" i="29"/>
  <c r="AJ372" i="29"/>
  <c r="AJ346" i="29"/>
  <c r="AJ343" i="29"/>
  <c r="AJ345" i="29"/>
  <c r="AJ344" i="29"/>
  <c r="AJ112" i="29"/>
  <c r="AJ111" i="29"/>
  <c r="AJ126" i="29"/>
  <c r="AJ125" i="29"/>
  <c r="AJ97" i="29"/>
  <c r="AJ98" i="29"/>
  <c r="AJ67" i="29"/>
  <c r="AJ66" i="29"/>
  <c r="AJ81" i="29"/>
  <c r="AJ192" i="29"/>
  <c r="V383" i="29"/>
  <c r="V471" i="29" s="1"/>
  <c r="V384" i="29"/>
  <c r="V472" i="29" s="1"/>
  <c r="W383" i="29"/>
  <c r="W471" i="29" s="1"/>
  <c r="AA36" i="29"/>
  <c r="AJ282" i="29"/>
  <c r="AJ458" i="29" s="1"/>
  <c r="AJ283" i="29"/>
  <c r="AJ459" i="29" s="1"/>
  <c r="AJ277" i="29"/>
  <c r="AJ453" i="29" s="1"/>
  <c r="AJ278" i="29"/>
  <c r="AJ454" i="29" s="1"/>
  <c r="AJ342" i="29"/>
  <c r="AJ370" i="29"/>
  <c r="AJ356" i="29"/>
  <c r="AJ193" i="29"/>
  <c r="AJ211" i="29"/>
  <c r="AJ209" i="29"/>
  <c r="AJ210" i="29"/>
  <c r="AJ208" i="29"/>
  <c r="AJ207" i="29"/>
  <c r="AJ225" i="29"/>
  <c r="AJ224" i="29"/>
  <c r="AJ222" i="29"/>
  <c r="AJ223" i="29"/>
  <c r="AJ221" i="29"/>
  <c r="AJ128" i="29"/>
  <c r="AJ127" i="29"/>
  <c r="AJ129" i="29"/>
  <c r="AJ114" i="29"/>
  <c r="AJ115" i="29"/>
  <c r="AJ113" i="29"/>
  <c r="AJ94" i="29"/>
  <c r="AJ108" i="29"/>
  <c r="AJ122" i="29"/>
  <c r="U231" i="14"/>
  <c r="W379" i="29"/>
  <c r="W467" i="29" s="1"/>
  <c r="X131" i="14"/>
  <c r="Y82" i="14" s="1"/>
  <c r="V380" i="29"/>
  <c r="V468" i="29" s="1"/>
  <c r="V379" i="29"/>
  <c r="V467" i="29" s="1"/>
  <c r="T231" i="14"/>
  <c r="T124" i="14"/>
  <c r="T119" i="14" s="1"/>
  <c r="T81" i="14"/>
  <c r="X41" i="29"/>
  <c r="AJ41" i="29" s="1"/>
  <c r="X22" i="29"/>
  <c r="X500" i="29" s="1"/>
  <c r="AJ500" i="29" s="1"/>
  <c r="X391" i="29"/>
  <c r="AJ391" i="29" s="1"/>
  <c r="Z21" i="14"/>
  <c r="Z11" i="29" s="1"/>
  <c r="W14" i="29"/>
  <c r="W22" i="14"/>
  <c r="W205" i="14" s="1"/>
  <c r="V113" i="14"/>
  <c r="V12" i="29"/>
  <c r="V112" i="14"/>
  <c r="V8" i="29"/>
  <c r="V485" i="29" s="1"/>
  <c r="X20" i="14"/>
  <c r="X202" i="14" s="1"/>
  <c r="AI202" i="14" s="1"/>
  <c r="X9" i="29"/>
  <c r="AJ9" i="29" s="1"/>
  <c r="W17" i="14"/>
  <c r="W203" i="14" s="1"/>
  <c r="V236" i="14" s="1"/>
  <c r="W10" i="29"/>
  <c r="X13" i="29"/>
  <c r="V212" i="14"/>
  <c r="AA183" i="29"/>
  <c r="AJ436" i="29" l="1"/>
  <c r="I543" i="29"/>
  <c r="I544" i="29" s="1"/>
  <c r="H250" i="14"/>
  <c r="Y319" i="29"/>
  <c r="Y329" i="29"/>
  <c r="Y325" i="29"/>
  <c r="Y323" i="29"/>
  <c r="Y324" i="29"/>
  <c r="Y322" i="29"/>
  <c r="Y327" i="29"/>
  <c r="W446" i="29"/>
  <c r="W447" i="29"/>
  <c r="R428" i="29"/>
  <c r="R182" i="29"/>
  <c r="R429" i="29" s="1"/>
  <c r="R517" i="29" s="1"/>
  <c r="Q430" i="29"/>
  <c r="S420" i="29"/>
  <c r="R521" i="29"/>
  <c r="Z303" i="29"/>
  <c r="Z312" i="29" s="1"/>
  <c r="Z317" i="29"/>
  <c r="Z325" i="29" s="1"/>
  <c r="S423" i="29"/>
  <c r="AJ433" i="29"/>
  <c r="U42" i="29"/>
  <c r="S426" i="29"/>
  <c r="S537" i="29" s="1"/>
  <c r="X76" i="14"/>
  <c r="X122" i="14" s="1"/>
  <c r="V539" i="29"/>
  <c r="V549" i="29" s="1"/>
  <c r="V563" i="29" s="1"/>
  <c r="W380" i="29"/>
  <c r="W468" i="29" s="1"/>
  <c r="W539" i="29" s="1"/>
  <c r="W549" i="29" s="1"/>
  <c r="W384" i="29"/>
  <c r="W472" i="29" s="1"/>
  <c r="W382" i="29"/>
  <c r="W470" i="29" s="1"/>
  <c r="W388" i="29"/>
  <c r="W476" i="29" s="1"/>
  <c r="AJ13" i="29"/>
  <c r="AJ487" i="29"/>
  <c r="U168" i="29"/>
  <c r="U154" i="29"/>
  <c r="U140" i="29"/>
  <c r="X506" i="29"/>
  <c r="AJ506" i="29" s="1"/>
  <c r="AJ505" i="29"/>
  <c r="V414" i="29"/>
  <c r="V516" i="29" s="1"/>
  <c r="V490" i="29"/>
  <c r="Y437" i="29"/>
  <c r="V514" i="29"/>
  <c r="V486" i="29"/>
  <c r="V484" i="29" s="1"/>
  <c r="T149" i="29"/>
  <c r="T147" i="29"/>
  <c r="T146" i="29"/>
  <c r="T145" i="29"/>
  <c r="T150" i="29"/>
  <c r="T148" i="29"/>
  <c r="T142" i="29"/>
  <c r="T151" i="29"/>
  <c r="T141" i="29"/>
  <c r="T143" i="29"/>
  <c r="T144" i="29"/>
  <c r="T152" i="29"/>
  <c r="T166" i="29"/>
  <c r="T155" i="29"/>
  <c r="T417" i="29" s="1"/>
  <c r="T157" i="29"/>
  <c r="T158" i="29"/>
  <c r="T163" i="29"/>
  <c r="T156" i="29"/>
  <c r="T165" i="29"/>
  <c r="T161" i="29"/>
  <c r="T162" i="29"/>
  <c r="T159" i="29"/>
  <c r="T164" i="29"/>
  <c r="T160" i="29"/>
  <c r="T176" i="29"/>
  <c r="T179" i="29"/>
  <c r="T170" i="29"/>
  <c r="T173" i="29"/>
  <c r="T171" i="29"/>
  <c r="T178" i="29"/>
  <c r="T175" i="29"/>
  <c r="T177" i="29"/>
  <c r="T424" i="29" s="1"/>
  <c r="T535" i="29" s="1"/>
  <c r="T180" i="29"/>
  <c r="T169" i="29"/>
  <c r="T174" i="29"/>
  <c r="T172" i="29"/>
  <c r="S526" i="29"/>
  <c r="AJ439" i="29"/>
  <c r="X532" i="29"/>
  <c r="AJ532" i="29" s="1"/>
  <c r="X530" i="29"/>
  <c r="AJ530" i="29" s="1"/>
  <c r="AJ438" i="29"/>
  <c r="X529" i="29"/>
  <c r="AJ529" i="29" s="1"/>
  <c r="I488" i="29"/>
  <c r="I501" i="29" s="1"/>
  <c r="Y436" i="29"/>
  <c r="S425" i="29"/>
  <c r="S536" i="29" s="1"/>
  <c r="Y440" i="29"/>
  <c r="T415" i="29"/>
  <c r="V21" i="29"/>
  <c r="V499" i="29" s="1"/>
  <c r="V513" i="29"/>
  <c r="Y434" i="29"/>
  <c r="Y444" i="29"/>
  <c r="S427" i="29"/>
  <c r="S538" i="29" s="1"/>
  <c r="Y441" i="29"/>
  <c r="Y438" i="29"/>
  <c r="Y529" i="29" s="1"/>
  <c r="S421" i="29"/>
  <c r="X227" i="29"/>
  <c r="X447" i="29" s="1"/>
  <c r="X446" i="29"/>
  <c r="S419" i="29"/>
  <c r="Y435" i="29"/>
  <c r="Z433" i="29"/>
  <c r="Y439" i="29"/>
  <c r="S424" i="29"/>
  <c r="S535" i="29" s="1"/>
  <c r="S416" i="29"/>
  <c r="AJ286" i="29"/>
  <c r="AJ457" i="29"/>
  <c r="AJ462" i="29" s="1"/>
  <c r="S417" i="29"/>
  <c r="S422" i="29"/>
  <c r="S418" i="29"/>
  <c r="Y445" i="29"/>
  <c r="AA287" i="29"/>
  <c r="AA317" i="29" s="1"/>
  <c r="AA432" i="29"/>
  <c r="Y442" i="29"/>
  <c r="U390" i="29"/>
  <c r="U477" i="29" s="1"/>
  <c r="U479" i="29" s="1"/>
  <c r="U478" i="29"/>
  <c r="V389" i="29"/>
  <c r="Z300" i="29"/>
  <c r="Z294" i="29"/>
  <c r="Z295" i="29"/>
  <c r="Z293" i="29"/>
  <c r="Z292" i="29"/>
  <c r="Z297" i="29"/>
  <c r="Z301" i="29"/>
  <c r="Z299" i="29"/>
  <c r="Z296" i="29"/>
  <c r="Z298" i="29"/>
  <c r="Z313" i="29"/>
  <c r="Z308" i="29"/>
  <c r="Z315" i="29"/>
  <c r="Z310" i="29"/>
  <c r="Z309" i="29"/>
  <c r="Z314" i="29"/>
  <c r="Z311" i="29"/>
  <c r="Z326" i="29"/>
  <c r="Z320" i="29"/>
  <c r="Z322" i="29"/>
  <c r="Z323" i="29"/>
  <c r="Z324" i="29"/>
  <c r="Z327" i="29"/>
  <c r="Z328" i="29"/>
  <c r="Z321" i="29"/>
  <c r="Z329" i="29"/>
  <c r="Z210" i="29"/>
  <c r="Z204" i="29"/>
  <c r="Z206" i="29"/>
  <c r="Z207" i="29"/>
  <c r="Z208" i="29"/>
  <c r="Z202" i="29"/>
  <c r="Z211" i="29"/>
  <c r="Z203" i="29"/>
  <c r="Z205" i="29"/>
  <c r="Z209" i="29"/>
  <c r="Z221" i="29"/>
  <c r="Z218" i="29"/>
  <c r="Z217" i="29"/>
  <c r="Z225" i="29"/>
  <c r="Z222" i="29"/>
  <c r="Z223" i="29"/>
  <c r="Z216" i="29"/>
  <c r="Z220" i="29"/>
  <c r="Z224" i="29"/>
  <c r="Z219" i="29"/>
  <c r="AA199" i="29"/>
  <c r="AA185" i="29"/>
  <c r="AA213" i="29"/>
  <c r="Z191" i="29"/>
  <c r="Z197" i="29"/>
  <c r="Z189" i="29"/>
  <c r="Z190" i="29"/>
  <c r="Z193" i="29"/>
  <c r="Z195" i="29"/>
  <c r="Z196" i="29"/>
  <c r="Z188" i="29"/>
  <c r="Z194" i="29"/>
  <c r="Z192" i="29"/>
  <c r="Z318" i="29"/>
  <c r="Z305" i="29"/>
  <c r="Z304" i="29"/>
  <c r="Z290" i="29"/>
  <c r="Z291" i="29"/>
  <c r="W31" i="29"/>
  <c r="V138" i="29"/>
  <c r="Z200" i="29"/>
  <c r="Z201" i="29"/>
  <c r="Z187" i="29"/>
  <c r="Z186" i="29"/>
  <c r="S181" i="29"/>
  <c r="Y226" i="29"/>
  <c r="Z215" i="29"/>
  <c r="Z214" i="29"/>
  <c r="I548" i="29"/>
  <c r="I562" i="29" s="1"/>
  <c r="W156" i="14"/>
  <c r="V231" i="14"/>
  <c r="X229" i="14"/>
  <c r="AI229" i="14" s="1"/>
  <c r="T559" i="29"/>
  <c r="Q560" i="29"/>
  <c r="T561" i="29"/>
  <c r="Y75" i="14"/>
  <c r="Y39" i="29"/>
  <c r="Y505" i="29" s="1"/>
  <c r="Y506" i="29" s="1"/>
  <c r="R546" i="29"/>
  <c r="U545" i="29"/>
  <c r="AJ53" i="29"/>
  <c r="AJ52" i="29"/>
  <c r="U547" i="29"/>
  <c r="J83" i="14"/>
  <c r="J228" i="14" s="1"/>
  <c r="J17" i="29"/>
  <c r="I141" i="14"/>
  <c r="I142" i="14" s="1"/>
  <c r="J140" i="14"/>
  <c r="K97" i="14"/>
  <c r="K93" i="14"/>
  <c r="V81" i="14"/>
  <c r="V85" i="14" s="1"/>
  <c r="W86" i="14" s="1"/>
  <c r="X378" i="29"/>
  <c r="X466" i="29" s="1"/>
  <c r="Z189" i="14"/>
  <c r="Z190" i="14"/>
  <c r="AA193" i="14"/>
  <c r="AA40" i="29" s="1"/>
  <c r="AA194" i="14"/>
  <c r="AJ39" i="29"/>
  <c r="AA197" i="14"/>
  <c r="AA198" i="14"/>
  <c r="W42" i="14"/>
  <c r="W72" i="14" s="1"/>
  <c r="AC150" i="14"/>
  <c r="AD149" i="14"/>
  <c r="U124" i="14"/>
  <c r="U119" i="14" s="1"/>
  <c r="AJ280" i="29"/>
  <c r="AJ456" i="29" s="1"/>
  <c r="AJ195" i="29"/>
  <c r="AJ196" i="29"/>
  <c r="AJ197" i="29"/>
  <c r="AJ194" i="29"/>
  <c r="AJ99" i="29"/>
  <c r="AJ101" i="29"/>
  <c r="AJ100" i="29"/>
  <c r="AJ51" i="29"/>
  <c r="AJ330" i="29"/>
  <c r="AJ375" i="29"/>
  <c r="AJ331" i="29"/>
  <c r="AJ376" i="29"/>
  <c r="AB36" i="29"/>
  <c r="AJ134" i="29"/>
  <c r="AJ131" i="29"/>
  <c r="AJ132" i="29"/>
  <c r="AJ133" i="29"/>
  <c r="AJ118" i="29"/>
  <c r="AJ117" i="29"/>
  <c r="AJ119" i="29"/>
  <c r="AJ120" i="29"/>
  <c r="AJ50" i="29"/>
  <c r="AJ116" i="29"/>
  <c r="AJ130" i="29"/>
  <c r="AJ102" i="29"/>
  <c r="AJ83" i="29"/>
  <c r="AJ84" i="29"/>
  <c r="AJ82" i="29"/>
  <c r="AJ77" i="29"/>
  <c r="AJ68" i="29"/>
  <c r="AJ69" i="29"/>
  <c r="AJ70" i="29"/>
  <c r="AJ63" i="29"/>
  <c r="AJ49" i="29"/>
  <c r="AJ57" i="29"/>
  <c r="U81" i="14"/>
  <c r="T85" i="14"/>
  <c r="U86" i="14" s="1"/>
  <c r="T84" i="14"/>
  <c r="Y131" i="14"/>
  <c r="Z82" i="14" s="1"/>
  <c r="Y41" i="29"/>
  <c r="Y22" i="29"/>
  <c r="Y500" i="29" s="1"/>
  <c r="Y391" i="29"/>
  <c r="AJ22" i="29"/>
  <c r="AA21" i="14"/>
  <c r="AA11" i="29" s="1"/>
  <c r="AJ55" i="29"/>
  <c r="AJ56" i="29"/>
  <c r="W212" i="14"/>
  <c r="Y13" i="29"/>
  <c r="X17" i="14"/>
  <c r="X203" i="14" s="1"/>
  <c r="AI203" i="14" s="1"/>
  <c r="X10" i="29"/>
  <c r="X14" i="29"/>
  <c r="AJ14" i="29" s="1"/>
  <c r="X22" i="14"/>
  <c r="X205" i="14" s="1"/>
  <c r="AI205" i="14" s="1"/>
  <c r="W112" i="14"/>
  <c r="W8" i="29"/>
  <c r="W485" i="29" s="1"/>
  <c r="W113" i="14"/>
  <c r="W12" i="29"/>
  <c r="Y20" i="14"/>
  <c r="Y202" i="14" s="1"/>
  <c r="Y9" i="29"/>
  <c r="AB183" i="29"/>
  <c r="K155" i="14"/>
  <c r="K157" i="14" s="1"/>
  <c r="J232" i="14" l="1"/>
  <c r="I247" i="14"/>
  <c r="D72" i="52"/>
  <c r="AJ229" i="14"/>
  <c r="Z307" i="29"/>
  <c r="Y330" i="29"/>
  <c r="Y331" i="29" s="1"/>
  <c r="Y443" i="29"/>
  <c r="W448" i="29"/>
  <c r="T421" i="29"/>
  <c r="T426" i="29"/>
  <c r="T537" i="29" s="1"/>
  <c r="AJ446" i="29"/>
  <c r="Z306" i="29"/>
  <c r="S428" i="29"/>
  <c r="S182" i="29"/>
  <c r="S429" i="29" s="1"/>
  <c r="S517" i="29" s="1"/>
  <c r="R430" i="29"/>
  <c r="Z319" i="29"/>
  <c r="C60" i="52"/>
  <c r="Z5" i="52" s="1"/>
  <c r="Z6" i="52" s="1"/>
  <c r="AJ203" i="14"/>
  <c r="AK214" i="14" s="1"/>
  <c r="U415" i="29"/>
  <c r="X156" i="14"/>
  <c r="T526" i="29"/>
  <c r="Y76" i="14"/>
  <c r="Y122" i="14" s="1"/>
  <c r="J19" i="29"/>
  <c r="J18" i="29"/>
  <c r="J496" i="29" s="1"/>
  <c r="J20" i="29"/>
  <c r="J498" i="29" s="1"/>
  <c r="T423" i="29"/>
  <c r="T422" i="29"/>
  <c r="W389" i="29"/>
  <c r="Z436" i="29"/>
  <c r="AA289" i="29"/>
  <c r="AA297" i="29" s="1"/>
  <c r="AA303" i="29"/>
  <c r="V154" i="29"/>
  <c r="V168" i="29"/>
  <c r="V140" i="29"/>
  <c r="Z440" i="29"/>
  <c r="Z445" i="29"/>
  <c r="W514" i="29"/>
  <c r="W486" i="29"/>
  <c r="W484" i="29" s="1"/>
  <c r="W414" i="29"/>
  <c r="W516" i="29" s="1"/>
  <c r="W490" i="29"/>
  <c r="Z442" i="29"/>
  <c r="Z439" i="29"/>
  <c r="Z530" i="29" s="1"/>
  <c r="U143" i="29"/>
  <c r="U142" i="29"/>
  <c r="U148" i="29"/>
  <c r="U149" i="29"/>
  <c r="U146" i="29"/>
  <c r="U152" i="29"/>
  <c r="U141" i="29"/>
  <c r="U150" i="29"/>
  <c r="U147" i="29"/>
  <c r="U151" i="29"/>
  <c r="U145" i="29"/>
  <c r="U144" i="29"/>
  <c r="U166" i="29"/>
  <c r="U163" i="29"/>
  <c r="U164" i="29"/>
  <c r="U157" i="29"/>
  <c r="U161" i="29"/>
  <c r="U165" i="29"/>
  <c r="U158" i="29"/>
  <c r="U155" i="29"/>
  <c r="U160" i="29"/>
  <c r="U162" i="29"/>
  <c r="U159" i="29"/>
  <c r="U156" i="29"/>
  <c r="U174" i="29"/>
  <c r="U173" i="29"/>
  <c r="U172" i="29"/>
  <c r="U169" i="29"/>
  <c r="U177" i="29"/>
  <c r="U171" i="29"/>
  <c r="U179" i="29"/>
  <c r="U170" i="29"/>
  <c r="U175" i="29"/>
  <c r="U180" i="29"/>
  <c r="U178" i="29"/>
  <c r="U176" i="29"/>
  <c r="Y532" i="29"/>
  <c r="Y530" i="29"/>
  <c r="I507" i="29"/>
  <c r="T419" i="29"/>
  <c r="W21" i="29"/>
  <c r="W499" i="29" s="1"/>
  <c r="W513" i="29"/>
  <c r="S521" i="29"/>
  <c r="AB287" i="29"/>
  <c r="AB317" i="29" s="1"/>
  <c r="AB432" i="29"/>
  <c r="AJ466" i="29"/>
  <c r="Z443" i="29"/>
  <c r="Z434" i="29"/>
  <c r="T427" i="29"/>
  <c r="T538" i="29" s="1"/>
  <c r="Z441" i="29"/>
  <c r="W390" i="29"/>
  <c r="W477" i="29" s="1"/>
  <c r="W479" i="29" s="1"/>
  <c r="W478" i="29"/>
  <c r="X448" i="29"/>
  <c r="AJ447" i="29"/>
  <c r="AJ448" i="29" s="1"/>
  <c r="AJ397" i="29"/>
  <c r="Z435" i="29"/>
  <c r="T420" i="29"/>
  <c r="T425" i="29"/>
  <c r="T536" i="29" s="1"/>
  <c r="Z438" i="29"/>
  <c r="Z529" i="29" s="1"/>
  <c r="T418" i="29"/>
  <c r="Z437" i="29"/>
  <c r="V390" i="29"/>
  <c r="V477" i="29" s="1"/>
  <c r="V479" i="29" s="1"/>
  <c r="V478" i="29"/>
  <c r="Y227" i="29"/>
  <c r="Y447" i="29" s="1"/>
  <c r="Y446" i="29"/>
  <c r="T416" i="29"/>
  <c r="T521" i="29" s="1"/>
  <c r="Z444" i="29"/>
  <c r="X384" i="29"/>
  <c r="X472" i="29" s="1"/>
  <c r="AJ472" i="29" s="1"/>
  <c r="AA210" i="29"/>
  <c r="AA211" i="29"/>
  <c r="AA205" i="29"/>
  <c r="AA207" i="29"/>
  <c r="AA208" i="29"/>
  <c r="AA209" i="29"/>
  <c r="AA203" i="29"/>
  <c r="AA202" i="29"/>
  <c r="AA204" i="29"/>
  <c r="AA206" i="29"/>
  <c r="AA314" i="29"/>
  <c r="AA309" i="29"/>
  <c r="AA310" i="29"/>
  <c r="AA312" i="29"/>
  <c r="AA313" i="29"/>
  <c r="AA315" i="29"/>
  <c r="AA321" i="29"/>
  <c r="AA323" i="29"/>
  <c r="AA322" i="29"/>
  <c r="AA320" i="29"/>
  <c r="AA325" i="29"/>
  <c r="AA326" i="29"/>
  <c r="AA328" i="29"/>
  <c r="AA327" i="29"/>
  <c r="AA324" i="29"/>
  <c r="AA329" i="29"/>
  <c r="AB185" i="29"/>
  <c r="AB199" i="29"/>
  <c r="AB213" i="29"/>
  <c r="AA216" i="29"/>
  <c r="AA217" i="29"/>
  <c r="AA218" i="29"/>
  <c r="AA219" i="29"/>
  <c r="AA220" i="29"/>
  <c r="AA225" i="29"/>
  <c r="AA222" i="29"/>
  <c r="AA224" i="29"/>
  <c r="AA221" i="29"/>
  <c r="AA223" i="29"/>
  <c r="AA192" i="29"/>
  <c r="AA190" i="29"/>
  <c r="AA196" i="29"/>
  <c r="AA197" i="29"/>
  <c r="AA189" i="29"/>
  <c r="AA193" i="29"/>
  <c r="AA191" i="29"/>
  <c r="AA195" i="29"/>
  <c r="AA194" i="29"/>
  <c r="AA188" i="29"/>
  <c r="AA318" i="29"/>
  <c r="AA319" i="29"/>
  <c r="AA304" i="29"/>
  <c r="Z330" i="29"/>
  <c r="Z331" i="29" s="1"/>
  <c r="Z226" i="29"/>
  <c r="AJ226" i="29"/>
  <c r="AJ227" i="29" s="1"/>
  <c r="X31" i="29"/>
  <c r="W138" i="29"/>
  <c r="T181" i="29"/>
  <c r="AA186" i="29"/>
  <c r="AA187" i="29"/>
  <c r="AA200" i="29"/>
  <c r="AA201" i="29"/>
  <c r="AA215" i="29"/>
  <c r="AA214" i="29"/>
  <c r="R560" i="29"/>
  <c r="U559" i="29"/>
  <c r="Y229" i="14"/>
  <c r="W563" i="29"/>
  <c r="U561" i="29"/>
  <c r="Z75" i="14"/>
  <c r="Z39" i="29"/>
  <c r="Z505" i="29" s="1"/>
  <c r="Z506" i="29" s="1"/>
  <c r="V545" i="29"/>
  <c r="S546" i="29"/>
  <c r="X383" i="29"/>
  <c r="AJ378" i="29"/>
  <c r="V84" i="14"/>
  <c r="X381" i="29"/>
  <c r="X469" i="29" s="1"/>
  <c r="AJ469" i="29" s="1"/>
  <c r="X385" i="29"/>
  <c r="X473" i="29" s="1"/>
  <c r="AJ473" i="29" s="1"/>
  <c r="X386" i="29"/>
  <c r="X474" i="29" s="1"/>
  <c r="AJ474" i="29" s="1"/>
  <c r="X387" i="29"/>
  <c r="X475" i="29" s="1"/>
  <c r="AJ475" i="29" s="1"/>
  <c r="X388" i="29"/>
  <c r="X476" i="29" s="1"/>
  <c r="AJ476" i="29" s="1"/>
  <c r="X380" i="29"/>
  <c r="X379" i="29"/>
  <c r="X467" i="29" s="1"/>
  <c r="V547" i="29"/>
  <c r="X382" i="29"/>
  <c r="X470" i="29" s="1"/>
  <c r="AJ470" i="29" s="1"/>
  <c r="W236" i="14"/>
  <c r="AH236" i="14" s="1"/>
  <c r="AJ236" i="14" s="1"/>
  <c r="K90" i="14"/>
  <c r="K91" i="14" s="1"/>
  <c r="L92" i="14" s="1"/>
  <c r="K94" i="14"/>
  <c r="L98" i="14"/>
  <c r="J105" i="14"/>
  <c r="J107" i="14" s="1"/>
  <c r="K106" i="14" s="1"/>
  <c r="J117" i="14"/>
  <c r="J111" i="14" s="1"/>
  <c r="AB197" i="14"/>
  <c r="AB198" i="14"/>
  <c r="AB193" i="14"/>
  <c r="AB40" i="29" s="1"/>
  <c r="AB194" i="14"/>
  <c r="AA189" i="14"/>
  <c r="AA190" i="14"/>
  <c r="X42" i="14"/>
  <c r="X72" i="14" s="1"/>
  <c r="AD150" i="14"/>
  <c r="AE149" i="14"/>
  <c r="V42" i="29"/>
  <c r="AJ275" i="29"/>
  <c r="AJ104" i="29"/>
  <c r="AJ106" i="29"/>
  <c r="AJ103" i="29"/>
  <c r="AJ105" i="29"/>
  <c r="AC36" i="29"/>
  <c r="AJ87" i="29"/>
  <c r="AJ88" i="29"/>
  <c r="AJ89" i="29"/>
  <c r="AJ86" i="29"/>
  <c r="AJ85" i="29"/>
  <c r="AJ75" i="29"/>
  <c r="AJ73" i="29"/>
  <c r="AJ72" i="29"/>
  <c r="AJ74" i="29"/>
  <c r="AJ71" i="29"/>
  <c r="AJ54" i="29"/>
  <c r="AJ60" i="29"/>
  <c r="AJ58" i="29"/>
  <c r="AJ61" i="29"/>
  <c r="AJ59" i="29"/>
  <c r="U84" i="14"/>
  <c r="U85" i="14"/>
  <c r="V86" i="14" s="1"/>
  <c r="W231" i="14"/>
  <c r="W124" i="14"/>
  <c r="W119" i="14" s="1"/>
  <c r="Y378" i="29"/>
  <c r="Y466" i="29" s="1"/>
  <c r="Z41" i="29"/>
  <c r="Z22" i="29"/>
  <c r="Z500" i="29" s="1"/>
  <c r="Z391" i="29"/>
  <c r="W81" i="14"/>
  <c r="W85" i="14" s="1"/>
  <c r="X86" i="14" s="1"/>
  <c r="Z131" i="14"/>
  <c r="AA82" i="14" s="1"/>
  <c r="AB21" i="14"/>
  <c r="AB11" i="29" s="1"/>
  <c r="AJ10" i="29"/>
  <c r="Z20" i="14"/>
  <c r="Z202" i="14" s="1"/>
  <c r="Z9" i="29"/>
  <c r="Y10" i="29"/>
  <c r="Y17" i="14"/>
  <c r="Y203" i="14" s="1"/>
  <c r="X236" i="14" s="1"/>
  <c r="X12" i="29"/>
  <c r="X113" i="14"/>
  <c r="X212" i="14"/>
  <c r="AI212" i="14" s="1"/>
  <c r="S5" i="52"/>
  <c r="Z13" i="29"/>
  <c r="X112" i="14"/>
  <c r="X8" i="29"/>
  <c r="Y14" i="29"/>
  <c r="Y22" i="14"/>
  <c r="Y205" i="14" s="1"/>
  <c r="AC183" i="29"/>
  <c r="L155" i="14"/>
  <c r="L157" i="14" s="1"/>
  <c r="I249" i="14" l="1"/>
  <c r="U423" i="29"/>
  <c r="AA301" i="29"/>
  <c r="T428" i="29"/>
  <c r="T182" i="29"/>
  <c r="T429" i="29" s="1"/>
  <c r="T517" i="29" s="1"/>
  <c r="S430" i="29"/>
  <c r="U426" i="29"/>
  <c r="U537" i="29" s="1"/>
  <c r="AA294" i="29"/>
  <c r="U422" i="29"/>
  <c r="AA296" i="29"/>
  <c r="AA440" i="29" s="1"/>
  <c r="Y186" i="52"/>
  <c r="Y7" i="52"/>
  <c r="S14" i="52" s="1"/>
  <c r="AA293" i="29"/>
  <c r="AA291" i="29"/>
  <c r="AA299" i="29"/>
  <c r="AA443" i="29" s="1"/>
  <c r="AA300" i="29"/>
  <c r="AA295" i="29"/>
  <c r="AA439" i="29" s="1"/>
  <c r="AA298" i="29"/>
  <c r="AA442" i="29" s="1"/>
  <c r="AA292" i="29"/>
  <c r="AA290" i="29"/>
  <c r="AA433" i="29"/>
  <c r="AA311" i="29"/>
  <c r="AA441" i="29" s="1"/>
  <c r="U419" i="29"/>
  <c r="AA307" i="29"/>
  <c r="AJ384" i="29"/>
  <c r="AA306" i="29"/>
  <c r="AA305" i="29"/>
  <c r="AA308" i="29"/>
  <c r="Z76" i="14"/>
  <c r="Z122" i="14" s="1"/>
  <c r="U418" i="29"/>
  <c r="U526" i="29"/>
  <c r="U427" i="29"/>
  <c r="U538" i="29" s="1"/>
  <c r="U424" i="29"/>
  <c r="U535" i="29" s="1"/>
  <c r="U420" i="29"/>
  <c r="W42" i="29"/>
  <c r="Z532" i="29"/>
  <c r="X514" i="29"/>
  <c r="AJ514" i="29" s="1"/>
  <c r="X486" i="29"/>
  <c r="AJ486" i="29" s="1"/>
  <c r="W168" i="29"/>
  <c r="W154" i="29"/>
  <c r="W140" i="29"/>
  <c r="AJ467" i="29"/>
  <c r="V152" i="29"/>
  <c r="V151" i="29"/>
  <c r="V144" i="29"/>
  <c r="V145" i="29"/>
  <c r="V143" i="29"/>
  <c r="V150" i="29"/>
  <c r="V148" i="29"/>
  <c r="V141" i="29"/>
  <c r="V149" i="29"/>
  <c r="V147" i="29"/>
  <c r="V146" i="29"/>
  <c r="V142" i="29"/>
  <c r="X513" i="29"/>
  <c r="AJ513" i="29" s="1"/>
  <c r="X485" i="29"/>
  <c r="V174" i="29"/>
  <c r="V177" i="29"/>
  <c r="V178" i="29"/>
  <c r="V176" i="29"/>
  <c r="V175" i="29"/>
  <c r="V172" i="29"/>
  <c r="V169" i="29"/>
  <c r="V170" i="29"/>
  <c r="V179" i="29"/>
  <c r="V180" i="29"/>
  <c r="V173" i="29"/>
  <c r="V171" i="29"/>
  <c r="X414" i="29"/>
  <c r="X516" i="29" s="1"/>
  <c r="X490" i="29"/>
  <c r="AJ490" i="29" s="1"/>
  <c r="AJ31" i="29"/>
  <c r="AJ414" i="29" s="1"/>
  <c r="V166" i="29"/>
  <c r="V163" i="29"/>
  <c r="V159" i="29"/>
  <c r="V162" i="29"/>
  <c r="V156" i="29"/>
  <c r="V161" i="29"/>
  <c r="V165" i="29"/>
  <c r="V157" i="29"/>
  <c r="V160" i="29"/>
  <c r="V164" i="29"/>
  <c r="V158" i="29"/>
  <c r="V155" i="29"/>
  <c r="J534" i="29"/>
  <c r="J497" i="29"/>
  <c r="J488" i="29" s="1"/>
  <c r="J501" i="29" s="1"/>
  <c r="J507" i="29" s="1"/>
  <c r="I520" i="29"/>
  <c r="I522" i="29" s="1"/>
  <c r="I528" i="29"/>
  <c r="AB303" i="29"/>
  <c r="AB314" i="29" s="1"/>
  <c r="U425" i="29"/>
  <c r="U536" i="29" s="1"/>
  <c r="AB289" i="29"/>
  <c r="AB301" i="29" s="1"/>
  <c r="Y448" i="29"/>
  <c r="U416" i="29"/>
  <c r="AA445" i="29"/>
  <c r="J519" i="29"/>
  <c r="AJ380" i="29"/>
  <c r="X468" i="29"/>
  <c r="AJ468" i="29" s="1"/>
  <c r="AA435" i="29"/>
  <c r="AJ285" i="29"/>
  <c r="AJ451" i="29"/>
  <c r="AJ461" i="29" s="1"/>
  <c r="AJ463" i="29" s="1"/>
  <c r="U421" i="29"/>
  <c r="V415" i="29"/>
  <c r="AC287" i="29"/>
  <c r="AC317" i="29" s="1"/>
  <c r="AC432" i="29"/>
  <c r="U417" i="29"/>
  <c r="AA444" i="29"/>
  <c r="AJ383" i="29"/>
  <c r="X471" i="29"/>
  <c r="AJ471" i="29" s="1"/>
  <c r="Z227" i="29"/>
  <c r="Z447" i="29" s="1"/>
  <c r="Z446" i="29"/>
  <c r="X21" i="29"/>
  <c r="AB193" i="29"/>
  <c r="AB191" i="29"/>
  <c r="AB192" i="29"/>
  <c r="AB188" i="29"/>
  <c r="AB195" i="29"/>
  <c r="AB189" i="29"/>
  <c r="AB190" i="29"/>
  <c r="AB194" i="29"/>
  <c r="AB197" i="29"/>
  <c r="AB196" i="29"/>
  <c r="AJ379" i="29"/>
  <c r="X389" i="29"/>
  <c r="AB324" i="29"/>
  <c r="AB322" i="29"/>
  <c r="AB327" i="29"/>
  <c r="AB328" i="29"/>
  <c r="AB320" i="29"/>
  <c r="AB326" i="29"/>
  <c r="AB329" i="29"/>
  <c r="AB321" i="29"/>
  <c r="AB323" i="29"/>
  <c r="AB325" i="29"/>
  <c r="AC213" i="29"/>
  <c r="AC199" i="29"/>
  <c r="AC185" i="29"/>
  <c r="AB216" i="29"/>
  <c r="AB220" i="29"/>
  <c r="AB218" i="29"/>
  <c r="AB217" i="29"/>
  <c r="AB219" i="29"/>
  <c r="AB221" i="29"/>
  <c r="AB224" i="29"/>
  <c r="AB223" i="29"/>
  <c r="AB222" i="29"/>
  <c r="AB225" i="29"/>
  <c r="AB210" i="29"/>
  <c r="AB211" i="29"/>
  <c r="AB206" i="29"/>
  <c r="AB208" i="29"/>
  <c r="AB209" i="29"/>
  <c r="AB202" i="29"/>
  <c r="AB204" i="29"/>
  <c r="AB203" i="29"/>
  <c r="AB205" i="29"/>
  <c r="AB207" i="29"/>
  <c r="AB318" i="29"/>
  <c r="AB319" i="29"/>
  <c r="Y31" i="29"/>
  <c r="X138" i="29"/>
  <c r="AB187" i="29"/>
  <c r="AB186" i="29"/>
  <c r="AB200" i="29"/>
  <c r="AB201" i="29"/>
  <c r="AB215" i="29"/>
  <c r="AB214" i="29"/>
  <c r="AA226" i="29"/>
  <c r="U181" i="29"/>
  <c r="S560" i="29"/>
  <c r="V559" i="29"/>
  <c r="Z229" i="14"/>
  <c r="V561" i="29"/>
  <c r="AA75" i="14"/>
  <c r="AA39" i="29"/>
  <c r="AA505" i="29" s="1"/>
  <c r="AA506" i="29" s="1"/>
  <c r="W547" i="29"/>
  <c r="T546" i="29"/>
  <c r="W545" i="29"/>
  <c r="D195" i="52"/>
  <c r="C73" i="52"/>
  <c r="AJ382" i="29"/>
  <c r="Y385" i="29"/>
  <c r="Y473" i="29" s="1"/>
  <c r="Y386" i="29"/>
  <c r="Y474" i="29" s="1"/>
  <c r="Y387" i="29"/>
  <c r="Y475" i="29" s="1"/>
  <c r="Y388" i="29"/>
  <c r="Y476" i="29" s="1"/>
  <c r="AJ381" i="29"/>
  <c r="K87" i="14"/>
  <c r="J155" i="14"/>
  <c r="J157" i="14" s="1"/>
  <c r="J138" i="14"/>
  <c r="J139" i="14" s="1"/>
  <c r="J126" i="14"/>
  <c r="J128" i="14" s="1"/>
  <c r="K127" i="14" s="1"/>
  <c r="L99" i="14"/>
  <c r="L95" i="14"/>
  <c r="J23" i="29"/>
  <c r="AB190" i="14"/>
  <c r="AB189" i="14"/>
  <c r="AC194" i="14"/>
  <c r="AC193" i="14"/>
  <c r="AC40" i="29" s="1"/>
  <c r="AC197" i="14"/>
  <c r="AC198" i="14"/>
  <c r="Y42" i="14"/>
  <c r="Y72" i="14" s="1"/>
  <c r="AE150" i="14"/>
  <c r="AF149" i="14"/>
  <c r="W84" i="14"/>
  <c r="Y381" i="29"/>
  <c r="Y469" i="29" s="1"/>
  <c r="Y382" i="29"/>
  <c r="Y470" i="29" s="1"/>
  <c r="AJ388" i="29"/>
  <c r="AJ386" i="29"/>
  <c r="AJ387" i="29"/>
  <c r="AJ385" i="29"/>
  <c r="AJ135" i="29"/>
  <c r="AJ136" i="29"/>
  <c r="AJ91" i="29"/>
  <c r="Y384" i="29"/>
  <c r="Y472" i="29" s="1"/>
  <c r="Y383" i="29"/>
  <c r="Y471" i="29" s="1"/>
  <c r="AD36" i="29"/>
  <c r="AJ90" i="29"/>
  <c r="Y379" i="29"/>
  <c r="Y467" i="29" s="1"/>
  <c r="Y380" i="29"/>
  <c r="Y468" i="29" s="1"/>
  <c r="AA41" i="29"/>
  <c r="AA22" i="29"/>
  <c r="AA500" i="29" s="1"/>
  <c r="AA391" i="29"/>
  <c r="AA131" i="14"/>
  <c r="AB82" i="14" s="1"/>
  <c r="X81" i="14"/>
  <c r="Y156" i="14"/>
  <c r="Z378" i="29"/>
  <c r="Z466" i="29" s="1"/>
  <c r="AC21" i="14"/>
  <c r="AC11" i="29" s="1"/>
  <c r="AJ8" i="29"/>
  <c r="AJ12" i="29"/>
  <c r="Y212" i="14"/>
  <c r="Z14" i="29"/>
  <c r="Z22" i="14"/>
  <c r="Z205" i="14" s="1"/>
  <c r="Y12" i="29"/>
  <c r="Y113" i="14"/>
  <c r="AA13" i="29"/>
  <c r="Z10" i="29"/>
  <c r="Z17" i="14"/>
  <c r="Z203" i="14" s="1"/>
  <c r="Y236" i="14" s="1"/>
  <c r="Y112" i="14"/>
  <c r="Y8" i="29"/>
  <c r="Y485" i="29" s="1"/>
  <c r="AA20" i="14"/>
  <c r="AA202" i="14" s="1"/>
  <c r="AA9" i="29"/>
  <c r="AD183" i="29"/>
  <c r="J543" i="29" l="1"/>
  <c r="J544" i="29" s="1"/>
  <c r="I250" i="14"/>
  <c r="AA437" i="29"/>
  <c r="AA438" i="29"/>
  <c r="AA529" i="29" s="1"/>
  <c r="AA436" i="29"/>
  <c r="U428" i="29"/>
  <c r="U182" i="29"/>
  <c r="U429" i="29" s="1"/>
  <c r="U517" i="29" s="1"/>
  <c r="T430" i="29"/>
  <c r="AA434" i="29"/>
  <c r="V420" i="29"/>
  <c r="AB300" i="29"/>
  <c r="AB299" i="29"/>
  <c r="AB298" i="29"/>
  <c r="AB291" i="29"/>
  <c r="AB297" i="29"/>
  <c r="AB290" i="29"/>
  <c r="V426" i="29"/>
  <c r="V537" i="29" s="1"/>
  <c r="AC303" i="29"/>
  <c r="AC311" i="29" s="1"/>
  <c r="AA330" i="29"/>
  <c r="AA331" i="29" s="1"/>
  <c r="AB294" i="29"/>
  <c r="AB438" i="29" s="1"/>
  <c r="AB529" i="29" s="1"/>
  <c r="AC289" i="29"/>
  <c r="AC292" i="29" s="1"/>
  <c r="AB296" i="29"/>
  <c r="AB293" i="29"/>
  <c r="AB295" i="29"/>
  <c r="X484" i="29"/>
  <c r="AJ484" i="29" s="1"/>
  <c r="AB292" i="29"/>
  <c r="AB312" i="29"/>
  <c r="V417" i="29"/>
  <c r="AB306" i="29"/>
  <c r="AB310" i="29"/>
  <c r="AB304" i="29"/>
  <c r="AB307" i="29"/>
  <c r="AB305" i="29"/>
  <c r="AB434" i="29" s="1"/>
  <c r="AB311" i="29"/>
  <c r="AB315" i="29"/>
  <c r="AB433" i="29"/>
  <c r="AB309" i="29"/>
  <c r="AB308" i="29"/>
  <c r="V425" i="29"/>
  <c r="V536" i="29" s="1"/>
  <c r="AA76" i="14"/>
  <c r="AA122" i="14" s="1"/>
  <c r="AA156" i="14" s="1"/>
  <c r="AB313" i="29"/>
  <c r="AB443" i="29" s="1"/>
  <c r="X539" i="29"/>
  <c r="AJ539" i="29" s="1"/>
  <c r="AJ485" i="29"/>
  <c r="W149" i="29"/>
  <c r="W145" i="29"/>
  <c r="W147" i="29"/>
  <c r="W144" i="29"/>
  <c r="W141" i="29"/>
  <c r="W142" i="29"/>
  <c r="W146" i="29"/>
  <c r="W143" i="29"/>
  <c r="W152" i="29"/>
  <c r="W150" i="29"/>
  <c r="W151" i="29"/>
  <c r="W148" i="29"/>
  <c r="W158" i="29"/>
  <c r="W157" i="29"/>
  <c r="W159" i="29"/>
  <c r="W161" i="29"/>
  <c r="W162" i="29"/>
  <c r="W164" i="29"/>
  <c r="W156" i="29"/>
  <c r="W155" i="29"/>
  <c r="W165" i="29"/>
  <c r="W166" i="29"/>
  <c r="W160" i="29"/>
  <c r="W163" i="29"/>
  <c r="Y539" i="29"/>
  <c r="Y514" i="29"/>
  <c r="Y486" i="29"/>
  <c r="Y484" i="29" s="1"/>
  <c r="V526" i="29"/>
  <c r="W175" i="29"/>
  <c r="W180" i="29"/>
  <c r="W171" i="29"/>
  <c r="W174" i="29"/>
  <c r="W178" i="29"/>
  <c r="W172" i="29"/>
  <c r="W176" i="29"/>
  <c r="W177" i="29"/>
  <c r="W169" i="29"/>
  <c r="W170" i="29"/>
  <c r="W179" i="29"/>
  <c r="W173" i="29"/>
  <c r="X154" i="29"/>
  <c r="X168" i="29"/>
  <c r="X140" i="29"/>
  <c r="Y414" i="29"/>
  <c r="Y516" i="29" s="1"/>
  <c r="Y490" i="29"/>
  <c r="AJ21" i="29"/>
  <c r="X499" i="29"/>
  <c r="AJ499" i="29" s="1"/>
  <c r="AA532" i="29"/>
  <c r="AA530" i="29"/>
  <c r="I540" i="29"/>
  <c r="I558" i="29"/>
  <c r="J533" i="29"/>
  <c r="J548" i="29" s="1"/>
  <c r="J562" i="29" s="1"/>
  <c r="U521" i="29"/>
  <c r="Z448" i="29"/>
  <c r="Y21" i="29"/>
  <c r="Y499" i="29" s="1"/>
  <c r="Y513" i="29"/>
  <c r="V423" i="29"/>
  <c r="V427" i="29"/>
  <c r="V538" i="29" s="1"/>
  <c r="V416" i="29"/>
  <c r="W415" i="29"/>
  <c r="AA227" i="29"/>
  <c r="AA447" i="29" s="1"/>
  <c r="AA446" i="29"/>
  <c r="AD287" i="29"/>
  <c r="AD317" i="29" s="1"/>
  <c r="AD432" i="29"/>
  <c r="V424" i="29"/>
  <c r="V535" i="29" s="1"/>
  <c r="AB440" i="29"/>
  <c r="V419" i="29"/>
  <c r="AB444" i="29"/>
  <c r="AB445" i="29"/>
  <c r="AB441" i="29"/>
  <c r="V422" i="29"/>
  <c r="X390" i="29"/>
  <c r="X477" i="29" s="1"/>
  <c r="X478" i="29"/>
  <c r="AJ478" i="29" s="1"/>
  <c r="V421" i="29"/>
  <c r="V418" i="29"/>
  <c r="AB442" i="29"/>
  <c r="AC225" i="29"/>
  <c r="AC219" i="29"/>
  <c r="AC224" i="29"/>
  <c r="AC218" i="29"/>
  <c r="AC222" i="29"/>
  <c r="AC220" i="29"/>
  <c r="AC221" i="29"/>
  <c r="AC216" i="29"/>
  <c r="AC217" i="29"/>
  <c r="AC223" i="29"/>
  <c r="AJ389" i="29"/>
  <c r="AJ390" i="29" s="1"/>
  <c r="AC211" i="29"/>
  <c r="AC207" i="29"/>
  <c r="AC209" i="29"/>
  <c r="AC202" i="29"/>
  <c r="AC203" i="29"/>
  <c r="AC205" i="29"/>
  <c r="AC204" i="29"/>
  <c r="AC206" i="29"/>
  <c r="AC208" i="29"/>
  <c r="AC210" i="29"/>
  <c r="AC323" i="29"/>
  <c r="AC324" i="29"/>
  <c r="AC328" i="29"/>
  <c r="AC320" i="29"/>
  <c r="AC321" i="29"/>
  <c r="AC327" i="29"/>
  <c r="AC322" i="29"/>
  <c r="AC329" i="29"/>
  <c r="AC326" i="29"/>
  <c r="AC325" i="29"/>
  <c r="AD213" i="29"/>
  <c r="AD199" i="29"/>
  <c r="AD185" i="29"/>
  <c r="Y389" i="29"/>
  <c r="X42" i="29"/>
  <c r="AJ42" i="29" s="1"/>
  <c r="AC194" i="29"/>
  <c r="AC192" i="29"/>
  <c r="AC195" i="29"/>
  <c r="AC193" i="29"/>
  <c r="AC196" i="29"/>
  <c r="AC197" i="29"/>
  <c r="AC189" i="29"/>
  <c r="AC188" i="29"/>
  <c r="AC190" i="29"/>
  <c r="AC191" i="29"/>
  <c r="AC296" i="29"/>
  <c r="AC294" i="29"/>
  <c r="AC319" i="29"/>
  <c r="AC318" i="29"/>
  <c r="AB226" i="29"/>
  <c r="V181" i="29"/>
  <c r="AC214" i="29"/>
  <c r="AC215" i="29"/>
  <c r="AC186" i="29"/>
  <c r="AC187" i="29"/>
  <c r="AC201" i="29"/>
  <c r="AC200" i="29"/>
  <c r="Z31" i="29"/>
  <c r="Y138" i="29"/>
  <c r="T560" i="29"/>
  <c r="W559" i="29"/>
  <c r="W561" i="29"/>
  <c r="AA229" i="14"/>
  <c r="AB75" i="14"/>
  <c r="AB39" i="29"/>
  <c r="AB505" i="29" s="1"/>
  <c r="AB506" i="29" s="1"/>
  <c r="U546" i="29"/>
  <c r="AJ138" i="29"/>
  <c r="Z386" i="29"/>
  <c r="Z474" i="29" s="1"/>
  <c r="Z387" i="29"/>
  <c r="Z475" i="29" s="1"/>
  <c r="Z388" i="29"/>
  <c r="Z476" i="29" s="1"/>
  <c r="Z385" i="29"/>
  <c r="Z473" i="29" s="1"/>
  <c r="K102" i="14"/>
  <c r="K88" i="14"/>
  <c r="L89" i="14" s="1"/>
  <c r="L96" i="14"/>
  <c r="L97" i="14" s="1"/>
  <c r="L100" i="14"/>
  <c r="J141" i="14"/>
  <c r="J142" i="14" s="1"/>
  <c r="K140" i="14"/>
  <c r="Z42" i="14"/>
  <c r="Z72" i="14" s="1"/>
  <c r="AD198" i="14"/>
  <c r="AD197" i="14"/>
  <c r="AD194" i="14"/>
  <c r="AD193" i="14"/>
  <c r="AD40" i="29" s="1"/>
  <c r="AC190" i="14"/>
  <c r="AC189" i="14"/>
  <c r="AG149" i="14"/>
  <c r="AF150" i="14"/>
  <c r="Y549" i="29"/>
  <c r="Z382" i="29"/>
  <c r="Z470" i="29" s="1"/>
  <c r="Z381" i="29"/>
  <c r="Z469" i="29" s="1"/>
  <c r="Z383" i="29"/>
  <c r="Z471" i="29" s="1"/>
  <c r="Z384" i="29"/>
  <c r="Z472" i="29" s="1"/>
  <c r="AE36" i="29"/>
  <c r="X84" i="14"/>
  <c r="X85" i="14"/>
  <c r="Y86" i="14" s="1"/>
  <c r="X231" i="14"/>
  <c r="X124" i="14"/>
  <c r="X119" i="14" s="1"/>
  <c r="Z156" i="14"/>
  <c r="Y81" i="14"/>
  <c r="Z379" i="29"/>
  <c r="Z467" i="29" s="1"/>
  <c r="Z380" i="29"/>
  <c r="Z468" i="29" s="1"/>
  <c r="AB41" i="29"/>
  <c r="AB22" i="29"/>
  <c r="AB500" i="29" s="1"/>
  <c r="AB391" i="29"/>
  <c r="AB131" i="14"/>
  <c r="AC82" i="14" s="1"/>
  <c r="AA378" i="29"/>
  <c r="AA466" i="29" s="1"/>
  <c r="AD21" i="14"/>
  <c r="AD11" i="29" s="1"/>
  <c r="Z212" i="14"/>
  <c r="AB20" i="14"/>
  <c r="AB202" i="14" s="1"/>
  <c r="AB9" i="29"/>
  <c r="AA14" i="29"/>
  <c r="AA22" i="14"/>
  <c r="AA205" i="14" s="1"/>
  <c r="AA17" i="14"/>
  <c r="AA10" i="29"/>
  <c r="Z112" i="14"/>
  <c r="Z8" i="29"/>
  <c r="Z485" i="29" s="1"/>
  <c r="Z113" i="14"/>
  <c r="Z12" i="29"/>
  <c r="AB13" i="29"/>
  <c r="AE183" i="29"/>
  <c r="AC301" i="29" l="1"/>
  <c r="AC300" i="29"/>
  <c r="AC299" i="29"/>
  <c r="W425" i="29"/>
  <c r="W536" i="29" s="1"/>
  <c r="AC295" i="29"/>
  <c r="AC306" i="29"/>
  <c r="AC310" i="29"/>
  <c r="AC307" i="29"/>
  <c r="Y42" i="29"/>
  <c r="AC308" i="29"/>
  <c r="AC304" i="29"/>
  <c r="AC433" i="29"/>
  <c r="AC305" i="29"/>
  <c r="AC312" i="29"/>
  <c r="AC315" i="29"/>
  <c r="AC313" i="29"/>
  <c r="AC314" i="29"/>
  <c r="AC298" i="29"/>
  <c r="U430" i="29"/>
  <c r="AC290" i="29"/>
  <c r="AC297" i="29"/>
  <c r="AC291" i="29"/>
  <c r="AC434" i="29" s="1"/>
  <c r="AC293" i="29"/>
  <c r="AC309" i="29"/>
  <c r="AB436" i="29"/>
  <c r="AB439" i="29"/>
  <c r="AB532" i="29" s="1"/>
  <c r="V428" i="29"/>
  <c r="V182" i="29"/>
  <c r="V429" i="29" s="1"/>
  <c r="V517" i="29" s="1"/>
  <c r="AB437" i="29"/>
  <c r="AB435" i="29"/>
  <c r="W422" i="29"/>
  <c r="W418" i="29"/>
  <c r="W426" i="29"/>
  <c r="W537" i="29" s="1"/>
  <c r="V521" i="29"/>
  <c r="AB330" i="29"/>
  <c r="AB331" i="29" s="1"/>
  <c r="AD303" i="29"/>
  <c r="AD311" i="29" s="1"/>
  <c r="AD289" i="29"/>
  <c r="AD300" i="29" s="1"/>
  <c r="AC437" i="29"/>
  <c r="W419" i="29"/>
  <c r="AB229" i="14"/>
  <c r="W427" i="29"/>
  <c r="W538" i="29" s="1"/>
  <c r="Z539" i="29"/>
  <c r="Z549" i="29" s="1"/>
  <c r="W526" i="29"/>
  <c r="X175" i="29"/>
  <c r="AJ175" i="29" s="1"/>
  <c r="X174" i="29"/>
  <c r="AJ174" i="29" s="1"/>
  <c r="X171" i="29"/>
  <c r="AJ171" i="29" s="1"/>
  <c r="X178" i="29"/>
  <c r="X176" i="29"/>
  <c r="AJ176" i="29" s="1"/>
  <c r="X169" i="29"/>
  <c r="AJ169" i="29" s="1"/>
  <c r="X177" i="29"/>
  <c r="AJ177" i="29" s="1"/>
  <c r="X170" i="29"/>
  <c r="AJ170" i="29" s="1"/>
  <c r="X180" i="29"/>
  <c r="AJ180" i="29" s="1"/>
  <c r="X173" i="29"/>
  <c r="AJ173" i="29" s="1"/>
  <c r="X172" i="29"/>
  <c r="AJ172" i="29" s="1"/>
  <c r="X179" i="29"/>
  <c r="X163" i="29"/>
  <c r="AJ163" i="29" s="1"/>
  <c r="X164" i="29"/>
  <c r="AJ164" i="29" s="1"/>
  <c r="X160" i="29"/>
  <c r="AJ160" i="29" s="1"/>
  <c r="X162" i="29"/>
  <c r="AJ162" i="29" s="1"/>
  <c r="X156" i="29"/>
  <c r="AJ156" i="29" s="1"/>
  <c r="X158" i="29"/>
  <c r="AJ158" i="29" s="1"/>
  <c r="X166" i="29"/>
  <c r="AJ166" i="29" s="1"/>
  <c r="X155" i="29"/>
  <c r="X157" i="29"/>
  <c r="AJ157" i="29" s="1"/>
  <c r="X165" i="29"/>
  <c r="AJ165" i="29" s="1"/>
  <c r="X161" i="29"/>
  <c r="AJ161" i="29" s="1"/>
  <c r="X159" i="29"/>
  <c r="AJ159" i="29" s="1"/>
  <c r="Y168" i="29"/>
  <c r="Y140" i="29"/>
  <c r="Y154" i="29"/>
  <c r="Z414" i="29"/>
  <c r="Z516" i="29" s="1"/>
  <c r="Z490" i="29"/>
  <c r="X415" i="29"/>
  <c r="Z514" i="29"/>
  <c r="Z486" i="29"/>
  <c r="Z484" i="29" s="1"/>
  <c r="X146" i="29"/>
  <c r="X141" i="29"/>
  <c r="X149" i="29"/>
  <c r="X143" i="29"/>
  <c r="X142" i="29"/>
  <c r="X152" i="29"/>
  <c r="X150" i="29"/>
  <c r="X147" i="29"/>
  <c r="X144" i="29"/>
  <c r="X148" i="29"/>
  <c r="X145" i="29"/>
  <c r="X151" i="29"/>
  <c r="J520" i="29"/>
  <c r="J522" i="29" s="1"/>
  <c r="J528" i="29"/>
  <c r="J558" i="29" s="1"/>
  <c r="AJ516" i="29"/>
  <c r="W420" i="29"/>
  <c r="Z21" i="29"/>
  <c r="Z499" i="29" s="1"/>
  <c r="Z513" i="29"/>
  <c r="W416" i="29"/>
  <c r="W421" i="29"/>
  <c r="W423" i="29"/>
  <c r="AC441" i="29"/>
  <c r="AC443" i="29"/>
  <c r="Y390" i="29"/>
  <c r="Y477" i="29" s="1"/>
  <c r="Y479" i="29" s="1"/>
  <c r="Y478" i="29"/>
  <c r="AB227" i="29"/>
  <c r="AB446" i="29"/>
  <c r="AC439" i="29"/>
  <c r="AC440" i="29"/>
  <c r="AJ477" i="29"/>
  <c r="X479" i="29"/>
  <c r="AJ479" i="29" s="1"/>
  <c r="AE287" i="29"/>
  <c r="AE303" i="29" s="1"/>
  <c r="AE432" i="29"/>
  <c r="AC445" i="29"/>
  <c r="W424" i="29"/>
  <c r="W535" i="29" s="1"/>
  <c r="AC438" i="29"/>
  <c r="AC529" i="29" s="1"/>
  <c r="AC442" i="29"/>
  <c r="AC436" i="29"/>
  <c r="AA448" i="29"/>
  <c r="W417" i="29"/>
  <c r="AC444" i="29"/>
  <c r="AD296" i="29"/>
  <c r="AD294" i="29"/>
  <c r="AD298" i="29"/>
  <c r="AD301" i="29"/>
  <c r="AD293" i="29"/>
  <c r="AD324" i="29"/>
  <c r="AD329" i="29"/>
  <c r="AD322" i="29"/>
  <c r="AD321" i="29"/>
  <c r="AD326" i="29"/>
  <c r="AD327" i="29"/>
  <c r="AD328" i="29"/>
  <c r="AD323" i="29"/>
  <c r="AD320" i="29"/>
  <c r="AD325" i="29"/>
  <c r="AJ178" i="29"/>
  <c r="AD195" i="29"/>
  <c r="AD193" i="29"/>
  <c r="AD194" i="29"/>
  <c r="AD190" i="29"/>
  <c r="AD197" i="29"/>
  <c r="AD191" i="29"/>
  <c r="AD189" i="29"/>
  <c r="AD192" i="29"/>
  <c r="AD196" i="29"/>
  <c r="AD188" i="29"/>
  <c r="Z389" i="29"/>
  <c r="AD211" i="29"/>
  <c r="AD208" i="29"/>
  <c r="AD202" i="29"/>
  <c r="AD203" i="29"/>
  <c r="AD204" i="29"/>
  <c r="AD210" i="29"/>
  <c r="AD206" i="29"/>
  <c r="AD205" i="29"/>
  <c r="AD207" i="29"/>
  <c r="AD209" i="29"/>
  <c r="AD224" i="29"/>
  <c r="AD222" i="29"/>
  <c r="AD225" i="29"/>
  <c r="AD217" i="29"/>
  <c r="AD220" i="29"/>
  <c r="AD221" i="29"/>
  <c r="AD216" i="29"/>
  <c r="AD223" i="29"/>
  <c r="AD219" i="29"/>
  <c r="AD218" i="29"/>
  <c r="AE199" i="29"/>
  <c r="AE185" i="29"/>
  <c r="AE213" i="29"/>
  <c r="AD291" i="29"/>
  <c r="AD319" i="29"/>
  <c r="AD318" i="29"/>
  <c r="AD215" i="29"/>
  <c r="AD214" i="29"/>
  <c r="AC226" i="29"/>
  <c r="AD186" i="29"/>
  <c r="AD187" i="29"/>
  <c r="W181" i="29"/>
  <c r="AD201" i="29"/>
  <c r="AD200" i="29"/>
  <c r="AA31" i="29"/>
  <c r="Z138" i="29"/>
  <c r="AJ155" i="29"/>
  <c r="AJ154" i="29"/>
  <c r="AJ168" i="29"/>
  <c r="AJ140" i="29"/>
  <c r="U560" i="29"/>
  <c r="AB76" i="14"/>
  <c r="AB122" i="14" s="1"/>
  <c r="AB156" i="14" s="1"/>
  <c r="X547" i="29"/>
  <c r="AJ547" i="29" s="1"/>
  <c r="AC75" i="14"/>
  <c r="AC39" i="29"/>
  <c r="AC505" i="29" s="1"/>
  <c r="AC506" i="29" s="1"/>
  <c r="X549" i="29"/>
  <c r="D191" i="52"/>
  <c r="Y191" i="52" s="1"/>
  <c r="X545" i="29"/>
  <c r="X559" i="29" s="1"/>
  <c r="Y545" i="29"/>
  <c r="V546" i="29"/>
  <c r="AJ179" i="29"/>
  <c r="AI231" i="14"/>
  <c r="AJ231" i="14" s="1"/>
  <c r="AA387" i="29"/>
  <c r="AA475" i="29" s="1"/>
  <c r="AA388" i="29"/>
  <c r="AA476" i="29" s="1"/>
  <c r="AA385" i="29"/>
  <c r="AA473" i="29" s="1"/>
  <c r="AA386" i="29"/>
  <c r="AA474" i="29" s="1"/>
  <c r="Y547" i="29"/>
  <c r="K104" i="14"/>
  <c r="K103" i="14"/>
  <c r="L101" i="14" s="1"/>
  <c r="M98" i="14"/>
  <c r="M99" i="14" s="1"/>
  <c r="L93" i="14"/>
  <c r="AA42" i="14"/>
  <c r="AA72" i="14" s="1"/>
  <c r="AA203" i="14"/>
  <c r="Z236" i="14" s="1"/>
  <c r="AD189" i="14"/>
  <c r="AD190" i="14"/>
  <c r="AE194" i="14"/>
  <c r="AE193" i="14"/>
  <c r="AE40" i="29" s="1"/>
  <c r="AE198" i="14"/>
  <c r="AE197" i="14"/>
  <c r="AH149" i="14"/>
  <c r="AH150" i="14" s="1"/>
  <c r="AG150" i="14"/>
  <c r="Z81" i="14"/>
  <c r="Z85" i="14" s="1"/>
  <c r="AA86" i="14" s="1"/>
  <c r="AA382" i="29"/>
  <c r="AA470" i="29" s="1"/>
  <c r="AA381" i="29"/>
  <c r="AA469" i="29" s="1"/>
  <c r="AA384" i="29"/>
  <c r="AA472" i="29" s="1"/>
  <c r="AA383" i="29"/>
  <c r="AA471" i="29" s="1"/>
  <c r="AF36" i="29"/>
  <c r="Y84" i="14"/>
  <c r="Y85" i="14"/>
  <c r="Z86" i="14" s="1"/>
  <c r="AA379" i="29"/>
  <c r="AA467" i="29" s="1"/>
  <c r="AA380" i="29"/>
  <c r="AA468" i="29" s="1"/>
  <c r="AB378" i="29"/>
  <c r="AB466" i="29" s="1"/>
  <c r="AC131" i="14"/>
  <c r="AD82" i="14" s="1"/>
  <c r="AC41" i="29"/>
  <c r="AC22" i="29"/>
  <c r="AC500" i="29" s="1"/>
  <c r="AC391" i="29"/>
  <c r="Y124" i="14"/>
  <c r="Y119" i="14" s="1"/>
  <c r="Y231" i="14"/>
  <c r="AE21" i="14"/>
  <c r="AE11" i="29" s="1"/>
  <c r="AA212" i="14"/>
  <c r="AA112" i="14"/>
  <c r="AA8" i="29"/>
  <c r="AA485" i="29" s="1"/>
  <c r="AC13" i="29"/>
  <c r="AA113" i="14"/>
  <c r="AA12" i="29"/>
  <c r="AC20" i="14"/>
  <c r="AC202" i="14" s="1"/>
  <c r="AC9" i="29"/>
  <c r="AB14" i="29"/>
  <c r="AB22" i="14"/>
  <c r="AB205" i="14" s="1"/>
  <c r="AB17" i="14"/>
  <c r="AB203" i="14" s="1"/>
  <c r="AA236" i="14" s="1"/>
  <c r="AB10" i="29"/>
  <c r="AF183" i="29"/>
  <c r="Z42" i="29" l="1"/>
  <c r="AB530" i="29"/>
  <c r="AC435" i="29"/>
  <c r="AB447" i="29"/>
  <c r="AC330" i="29"/>
  <c r="AC331" i="29" s="1"/>
  <c r="AE317" i="29"/>
  <c r="V430" i="29"/>
  <c r="AD308" i="29"/>
  <c r="AD310" i="29"/>
  <c r="AD312" i="29"/>
  <c r="AD295" i="29"/>
  <c r="W428" i="29"/>
  <c r="W182" i="29"/>
  <c r="W429" i="29" s="1"/>
  <c r="AE289" i="29"/>
  <c r="AE301" i="29" s="1"/>
  <c r="AD307" i="29"/>
  <c r="AD299" i="29"/>
  <c r="AD443" i="29" s="1"/>
  <c r="AD290" i="29"/>
  <c r="AD297" i="29"/>
  <c r="AD441" i="29" s="1"/>
  <c r="AD292" i="29"/>
  <c r="AD433" i="29"/>
  <c r="AD314" i="29"/>
  <c r="AD309" i="29"/>
  <c r="AD305" i="29"/>
  <c r="AD313" i="29"/>
  <c r="AD304" i="29"/>
  <c r="AD306" i="29"/>
  <c r="AD315" i="29"/>
  <c r="AJ415" i="29"/>
  <c r="AD444" i="29"/>
  <c r="AC76" i="14"/>
  <c r="AC122" i="14" s="1"/>
  <c r="AD440" i="29"/>
  <c r="X526" i="29"/>
  <c r="AJ526" i="29" s="1"/>
  <c r="J540" i="29"/>
  <c r="AD435" i="29"/>
  <c r="AA539" i="29"/>
  <c r="AA549" i="29" s="1"/>
  <c r="AA414" i="29"/>
  <c r="AA516" i="29" s="1"/>
  <c r="AA490" i="29"/>
  <c r="Y161" i="29"/>
  <c r="Y163" i="29"/>
  <c r="Y165" i="29"/>
  <c r="Y157" i="29"/>
  <c r="Y166" i="29"/>
  <c r="Y158" i="29"/>
  <c r="Y155" i="29"/>
  <c r="Y159" i="29"/>
  <c r="Y160" i="29"/>
  <c r="Y162" i="29"/>
  <c r="Y156" i="29"/>
  <c r="Y164" i="29"/>
  <c r="AA514" i="29"/>
  <c r="AA486" i="29"/>
  <c r="AA484" i="29" s="1"/>
  <c r="Z168" i="29"/>
  <c r="Z140" i="29"/>
  <c r="Z154" i="29"/>
  <c r="Y151" i="29"/>
  <c r="Y146" i="29"/>
  <c r="Y144" i="29"/>
  <c r="Y145" i="29"/>
  <c r="Y150" i="29"/>
  <c r="Y143" i="29"/>
  <c r="Y152" i="29"/>
  <c r="Y142" i="29"/>
  <c r="Y148" i="29"/>
  <c r="Y149" i="29"/>
  <c r="Y147" i="29"/>
  <c r="Y141" i="29"/>
  <c r="Y176" i="29"/>
  <c r="Y170" i="29"/>
  <c r="Y179" i="29"/>
  <c r="Y169" i="29"/>
  <c r="Y172" i="29"/>
  <c r="Y177" i="29"/>
  <c r="Y174" i="29"/>
  <c r="Y175" i="29"/>
  <c r="Y180" i="29"/>
  <c r="Y178" i="29"/>
  <c r="Y171" i="29"/>
  <c r="Y173" i="29"/>
  <c r="AC532" i="29"/>
  <c r="AC530" i="29"/>
  <c r="W521" i="29"/>
  <c r="X418" i="29"/>
  <c r="AJ418" i="29" s="1"/>
  <c r="X416" i="29"/>
  <c r="AD438" i="29"/>
  <c r="AD529" i="29" s="1"/>
  <c r="AA21" i="29"/>
  <c r="AA499" i="29" s="1"/>
  <c r="AA513" i="29"/>
  <c r="X425" i="29"/>
  <c r="AD442" i="29"/>
  <c r="X423" i="29"/>
  <c r="AJ423" i="29" s="1"/>
  <c r="X420" i="29"/>
  <c r="AJ420" i="29" s="1"/>
  <c r="AD434" i="29"/>
  <c r="Y415" i="29"/>
  <c r="X422" i="29"/>
  <c r="AJ422" i="29" s="1"/>
  <c r="X424" i="29"/>
  <c r="X421" i="29"/>
  <c r="AJ421" i="29" s="1"/>
  <c r="AD437" i="29"/>
  <c r="AE433" i="29"/>
  <c r="X427" i="29"/>
  <c r="AB448" i="29"/>
  <c r="AC227" i="29"/>
  <c r="AC447" i="29" s="1"/>
  <c r="AC446" i="29"/>
  <c r="AF287" i="29"/>
  <c r="AF303" i="29" s="1"/>
  <c r="AF432" i="29"/>
  <c r="X417" i="29"/>
  <c r="AJ417" i="29" s="1"/>
  <c r="Z390" i="29"/>
  <c r="Z477" i="29" s="1"/>
  <c r="Z479" i="29" s="1"/>
  <c r="Z478" i="29"/>
  <c r="AD445" i="29"/>
  <c r="X419" i="29"/>
  <c r="AJ419" i="29" s="1"/>
  <c r="X426" i="29"/>
  <c r="AF289" i="29"/>
  <c r="AE210" i="29"/>
  <c r="AE209" i="29"/>
  <c r="AE203" i="29"/>
  <c r="AE204" i="29"/>
  <c r="AE211" i="29"/>
  <c r="AE205" i="29"/>
  <c r="AE207" i="29"/>
  <c r="AE206" i="29"/>
  <c r="AE208" i="29"/>
  <c r="AE202" i="29"/>
  <c r="AE300" i="29"/>
  <c r="AE296" i="29"/>
  <c r="AE292" i="29"/>
  <c r="AE299" i="29"/>
  <c r="AE294" i="29"/>
  <c r="AE295" i="29"/>
  <c r="AE326" i="29"/>
  <c r="AE323" i="29"/>
  <c r="AE325" i="29"/>
  <c r="AE328" i="29"/>
  <c r="AE320" i="29"/>
  <c r="AE327" i="29"/>
  <c r="AE329" i="29"/>
  <c r="AE324" i="29"/>
  <c r="AE322" i="29"/>
  <c r="AE321" i="29"/>
  <c r="AA389" i="29"/>
  <c r="AF213" i="29"/>
  <c r="AF185" i="29"/>
  <c r="AF199" i="29"/>
  <c r="AE222" i="29"/>
  <c r="AE220" i="29"/>
  <c r="AE216" i="29"/>
  <c r="AE217" i="29"/>
  <c r="AE224" i="29"/>
  <c r="AE223" i="29"/>
  <c r="AE219" i="29"/>
  <c r="AE221" i="29"/>
  <c r="AE218" i="29"/>
  <c r="AE225" i="29"/>
  <c r="AE196" i="29"/>
  <c r="AE194" i="29"/>
  <c r="AE189" i="29"/>
  <c r="AE188" i="29"/>
  <c r="AE191" i="29"/>
  <c r="AE190" i="29"/>
  <c r="AE192" i="29"/>
  <c r="AE193" i="29"/>
  <c r="AE197" i="29"/>
  <c r="AE195" i="29"/>
  <c r="AE310" i="29"/>
  <c r="AE306" i="29"/>
  <c r="AE314" i="29"/>
  <c r="AE307" i="29"/>
  <c r="AE313" i="29"/>
  <c r="AE308" i="29"/>
  <c r="AE309" i="29"/>
  <c r="AE312" i="29"/>
  <c r="AE315" i="29"/>
  <c r="AE311" i="29"/>
  <c r="AE318" i="29"/>
  <c r="AE319" i="29"/>
  <c r="AE290" i="29"/>
  <c r="AE291" i="29"/>
  <c r="AE304" i="29"/>
  <c r="AE305" i="29"/>
  <c r="AE187" i="29"/>
  <c r="AE186" i="29"/>
  <c r="AE201" i="29"/>
  <c r="AE200" i="29"/>
  <c r="AE214" i="29"/>
  <c r="AE215" i="29"/>
  <c r="AB31" i="29"/>
  <c r="AA138" i="29"/>
  <c r="X181" i="29"/>
  <c r="AD226" i="29"/>
  <c r="V560" i="29"/>
  <c r="D196" i="52"/>
  <c r="AC229" i="14"/>
  <c r="Y559" i="29"/>
  <c r="AJ559" i="29"/>
  <c r="AJ549" i="29"/>
  <c r="D203" i="52" s="1"/>
  <c r="Y195" i="52" s="1"/>
  <c r="X563" i="29"/>
  <c r="X561" i="29"/>
  <c r="AD75" i="14"/>
  <c r="AD39" i="29"/>
  <c r="Z547" i="29"/>
  <c r="W546" i="29"/>
  <c r="Z545" i="29"/>
  <c r="AJ151" i="29"/>
  <c r="AJ141" i="29"/>
  <c r="AJ145" i="29"/>
  <c r="AJ142" i="29"/>
  <c r="AJ144" i="29"/>
  <c r="AJ143" i="29"/>
  <c r="AJ148" i="29"/>
  <c r="AJ147" i="29"/>
  <c r="AJ149" i="29"/>
  <c r="AJ146" i="29"/>
  <c r="AJ150" i="29"/>
  <c r="AJ152" i="29"/>
  <c r="AB387" i="29"/>
  <c r="AB475" i="29" s="1"/>
  <c r="AB388" i="29"/>
  <c r="AB476" i="29" s="1"/>
  <c r="AB385" i="29"/>
  <c r="AB473" i="29" s="1"/>
  <c r="AB386" i="29"/>
  <c r="AB474" i="29" s="1"/>
  <c r="K83" i="14"/>
  <c r="K228" i="14" s="1"/>
  <c r="K17" i="29"/>
  <c r="L94" i="14"/>
  <c r="L90" i="14"/>
  <c r="M100" i="14"/>
  <c r="AF198" i="14"/>
  <c r="AF197" i="14"/>
  <c r="AF194" i="14"/>
  <c r="AF193" i="14"/>
  <c r="AF40" i="29" s="1"/>
  <c r="AE190" i="14"/>
  <c r="AE189" i="14"/>
  <c r="AB42" i="14"/>
  <c r="AB72" i="14" s="1"/>
  <c r="AA81" i="14"/>
  <c r="AA84" i="14" s="1"/>
  <c r="Z231" i="14"/>
  <c r="Z124" i="14"/>
  <c r="Z119" i="14" s="1"/>
  <c r="Z84" i="14"/>
  <c r="AD229" i="14"/>
  <c r="AB381" i="29"/>
  <c r="AB469" i="29" s="1"/>
  <c r="AB382" i="29"/>
  <c r="AB470" i="29" s="1"/>
  <c r="AB384" i="29"/>
  <c r="AB472" i="29" s="1"/>
  <c r="AB383" i="29"/>
  <c r="AB471" i="29" s="1"/>
  <c r="AG36" i="29"/>
  <c r="AD41" i="29"/>
  <c r="AD22" i="29"/>
  <c r="AD500" i="29" s="1"/>
  <c r="AD391" i="29"/>
  <c r="AB379" i="29"/>
  <c r="AB467" i="29" s="1"/>
  <c r="AB380" i="29"/>
  <c r="AB468" i="29" s="1"/>
  <c r="AC378" i="29"/>
  <c r="AC466" i="29" s="1"/>
  <c r="AD131" i="14"/>
  <c r="AE82" i="14" s="1"/>
  <c r="AF21" i="14"/>
  <c r="AF11" i="29" s="1"/>
  <c r="M155" i="14"/>
  <c r="M157" i="14" s="1"/>
  <c r="AB212" i="14"/>
  <c r="AB112" i="14"/>
  <c r="AB8" i="29"/>
  <c r="AB485" i="29" s="1"/>
  <c r="AB113" i="14"/>
  <c r="AB12" i="29"/>
  <c r="AD20" i="14"/>
  <c r="AD202" i="14" s="1"/>
  <c r="AD9" i="29"/>
  <c r="AC14" i="29"/>
  <c r="AC22" i="14"/>
  <c r="AC205" i="14" s="1"/>
  <c r="AC10" i="29"/>
  <c r="AC17" i="14"/>
  <c r="AC203" i="14" s="1"/>
  <c r="AB236" i="14" s="1"/>
  <c r="AD13" i="29"/>
  <c r="AG183" i="29"/>
  <c r="N155" i="14"/>
  <c r="N157" i="14" s="1"/>
  <c r="K232" i="14" l="1"/>
  <c r="J247" i="14"/>
  <c r="J249" i="14" s="1"/>
  <c r="AA42" i="29"/>
  <c r="AD439" i="29"/>
  <c r="AD532" i="29" s="1"/>
  <c r="AE297" i="29"/>
  <c r="AD436" i="29"/>
  <c r="AE298" i="29"/>
  <c r="AE293" i="29"/>
  <c r="W517" i="29"/>
  <c r="W430" i="29"/>
  <c r="X428" i="29"/>
  <c r="AJ428" i="29" s="1"/>
  <c r="X182" i="29"/>
  <c r="X429" i="29" s="1"/>
  <c r="X517" i="29" s="1"/>
  <c r="AD330" i="29"/>
  <c r="AD331" i="29" s="1"/>
  <c r="Y417" i="29"/>
  <c r="AD76" i="14"/>
  <c r="AD122" i="14" s="1"/>
  <c r="K18" i="29"/>
  <c r="K496" i="29" s="1"/>
  <c r="K20" i="29"/>
  <c r="K498" i="29" s="1"/>
  <c r="K19" i="29"/>
  <c r="AE443" i="29"/>
  <c r="Y421" i="29"/>
  <c r="AB514" i="29"/>
  <c r="AB486" i="29"/>
  <c r="AB484" i="29" s="1"/>
  <c r="AA168" i="29"/>
  <c r="AA140" i="29"/>
  <c r="AA415" i="29" s="1"/>
  <c r="AA154" i="29"/>
  <c r="Y526" i="29"/>
  <c r="AB414" i="29"/>
  <c r="AB516" i="29" s="1"/>
  <c r="AB490" i="29"/>
  <c r="AD378" i="29"/>
  <c r="AD466" i="29" s="1"/>
  <c r="AD505" i="29"/>
  <c r="AD506" i="29" s="1"/>
  <c r="Z165" i="29"/>
  <c r="Z157" i="29"/>
  <c r="Z159" i="29"/>
  <c r="Z155" i="29"/>
  <c r="Z156" i="29"/>
  <c r="Z164" i="29"/>
  <c r="Z161" i="29"/>
  <c r="Z166" i="29"/>
  <c r="Z160" i="29"/>
  <c r="Z162" i="29"/>
  <c r="Z158" i="29"/>
  <c r="Z163" i="29"/>
  <c r="AB539" i="29"/>
  <c r="Z148" i="29"/>
  <c r="Z141" i="29"/>
  <c r="Z152" i="29"/>
  <c r="Z151" i="29"/>
  <c r="Z144" i="29"/>
  <c r="Z149" i="29"/>
  <c r="Z150" i="29"/>
  <c r="Z145" i="29"/>
  <c r="Z142" i="29"/>
  <c r="Z146" i="29"/>
  <c r="Z143" i="29"/>
  <c r="Z147" i="29"/>
  <c r="Z177" i="29"/>
  <c r="Z176" i="29"/>
  <c r="Z180" i="29"/>
  <c r="Z174" i="29"/>
  <c r="Z171" i="29"/>
  <c r="Z179" i="29"/>
  <c r="Z173" i="29"/>
  <c r="Z175" i="29"/>
  <c r="Z170" i="29"/>
  <c r="Z169" i="29"/>
  <c r="Z178" i="29"/>
  <c r="Z172" i="29"/>
  <c r="AJ426" i="29"/>
  <c r="X537" i="29"/>
  <c r="AJ537" i="29" s="1"/>
  <c r="AJ427" i="29"/>
  <c r="X538" i="29"/>
  <c r="AJ538" i="29" s="1"/>
  <c r="AJ424" i="29"/>
  <c r="X535" i="29"/>
  <c r="AJ535" i="29" s="1"/>
  <c r="AJ425" i="29"/>
  <c r="X536" i="29"/>
  <c r="AJ536" i="29" s="1"/>
  <c r="AE438" i="29"/>
  <c r="AE529" i="29" s="1"/>
  <c r="AE439" i="29"/>
  <c r="Y422" i="29"/>
  <c r="AB21" i="29"/>
  <c r="AB499" i="29" s="1"/>
  <c r="AB513" i="29"/>
  <c r="AE436" i="29"/>
  <c r="Y424" i="29"/>
  <c r="Y535" i="29" s="1"/>
  <c r="AJ416" i="29"/>
  <c r="X521" i="29"/>
  <c r="AJ521" i="29" s="1"/>
  <c r="AC448" i="29"/>
  <c r="Y416" i="29"/>
  <c r="Y521" i="29" s="1"/>
  <c r="AE445" i="29"/>
  <c r="AE444" i="29"/>
  <c r="Y427" i="29"/>
  <c r="Y538" i="29" s="1"/>
  <c r="Y423" i="29"/>
  <c r="AF317" i="29"/>
  <c r="AF322" i="29" s="1"/>
  <c r="AG287" i="29"/>
  <c r="AG317" i="29" s="1"/>
  <c r="AG432" i="29"/>
  <c r="AE441" i="29"/>
  <c r="Y426" i="29"/>
  <c r="Y537" i="29" s="1"/>
  <c r="AE440" i="29"/>
  <c r="Y419" i="29"/>
  <c r="AE435" i="29"/>
  <c r="Y420" i="29"/>
  <c r="Z415" i="29"/>
  <c r="AA390" i="29"/>
  <c r="AA477" i="29" s="1"/>
  <c r="AA479" i="29" s="1"/>
  <c r="AA478" i="29"/>
  <c r="Y418" i="29"/>
  <c r="AD227" i="29"/>
  <c r="AD447" i="29" s="1"/>
  <c r="AD446" i="29"/>
  <c r="AE434" i="29"/>
  <c r="AE437" i="29"/>
  <c r="Y425" i="29"/>
  <c r="Y536" i="29" s="1"/>
  <c r="AF195" i="29"/>
  <c r="AF191" i="29"/>
  <c r="AF193" i="29"/>
  <c r="AF197" i="29"/>
  <c r="AF189" i="29"/>
  <c r="AF190" i="29"/>
  <c r="AF192" i="29"/>
  <c r="AF194" i="29"/>
  <c r="AF196" i="29"/>
  <c r="AF188" i="29"/>
  <c r="AF221" i="29"/>
  <c r="AF216" i="29"/>
  <c r="AF217" i="29"/>
  <c r="AF219" i="29"/>
  <c r="AF224" i="29"/>
  <c r="AF222" i="29"/>
  <c r="AF218" i="29"/>
  <c r="AF225" i="29"/>
  <c r="AF220" i="29"/>
  <c r="AF223" i="29"/>
  <c r="AG199" i="29"/>
  <c r="AG185" i="29"/>
  <c r="AG213" i="29"/>
  <c r="AB389" i="29"/>
  <c r="AF315" i="29"/>
  <c r="AF307" i="29"/>
  <c r="AF314" i="29"/>
  <c r="AF309" i="29"/>
  <c r="AF313" i="29"/>
  <c r="AF310" i="29"/>
  <c r="AF312" i="29"/>
  <c r="AF311" i="29"/>
  <c r="AF308" i="29"/>
  <c r="AF306" i="29"/>
  <c r="AF301" i="29"/>
  <c r="AF292" i="29"/>
  <c r="AF296" i="29"/>
  <c r="AF300" i="29"/>
  <c r="AF295" i="29"/>
  <c r="AF294" i="29"/>
  <c r="AF299" i="29"/>
  <c r="AF297" i="29"/>
  <c r="AF293" i="29"/>
  <c r="AF298" i="29"/>
  <c r="AF210" i="29"/>
  <c r="AF211" i="29"/>
  <c r="AF202" i="29"/>
  <c r="AF204" i="29"/>
  <c r="AF205" i="29"/>
  <c r="AF206" i="29"/>
  <c r="AF208" i="29"/>
  <c r="AF203" i="29"/>
  <c r="AF207" i="29"/>
  <c r="AF209" i="29"/>
  <c r="Y181" i="29"/>
  <c r="AF291" i="29"/>
  <c r="AF290" i="29"/>
  <c r="AF304" i="29"/>
  <c r="AF305" i="29"/>
  <c r="AE226" i="29"/>
  <c r="AC31" i="29"/>
  <c r="AB138" i="29"/>
  <c r="AF214" i="29"/>
  <c r="AF215" i="29"/>
  <c r="AF187" i="29"/>
  <c r="AF186" i="29"/>
  <c r="AF201" i="29"/>
  <c r="AF200" i="29"/>
  <c r="AJ181" i="29"/>
  <c r="AJ182" i="29" s="1"/>
  <c r="W560" i="29"/>
  <c r="Y561" i="29"/>
  <c r="Z561" i="29" s="1"/>
  <c r="AJ561" i="29"/>
  <c r="Y563" i="29"/>
  <c r="Z563" i="29" s="1"/>
  <c r="AA563" i="29" s="1"/>
  <c r="AJ563" i="29"/>
  <c r="Z559" i="29"/>
  <c r="AE75" i="14"/>
  <c r="AE39" i="29"/>
  <c r="AA545" i="29"/>
  <c r="AA231" i="14"/>
  <c r="AA124" i="14"/>
  <c r="AA119" i="14" s="1"/>
  <c r="AC388" i="29"/>
  <c r="AC476" i="29" s="1"/>
  <c r="AC385" i="29"/>
  <c r="AC473" i="29" s="1"/>
  <c r="AC386" i="29"/>
  <c r="AC474" i="29" s="1"/>
  <c r="AC387" i="29"/>
  <c r="AC475" i="29" s="1"/>
  <c r="AD386" i="29"/>
  <c r="AD474" i="29" s="1"/>
  <c r="AA547" i="29"/>
  <c r="AK228" i="29"/>
  <c r="K117" i="14"/>
  <c r="K111" i="14" s="1"/>
  <c r="K105" i="14"/>
  <c r="K107" i="14" s="1"/>
  <c r="L106" i="14" s="1"/>
  <c r="L91" i="14"/>
  <c r="M92" i="14" s="1"/>
  <c r="L87" i="14"/>
  <c r="M95" i="14"/>
  <c r="AC42" i="14"/>
  <c r="AC72" i="14" s="1"/>
  <c r="AF190" i="14"/>
  <c r="AF189" i="14"/>
  <c r="AG193" i="14"/>
  <c r="AG40" i="29" s="1"/>
  <c r="AG194" i="14"/>
  <c r="AG197" i="14"/>
  <c r="AG198" i="14"/>
  <c r="AC156" i="14"/>
  <c r="AA85" i="14"/>
  <c r="AB86" i="14" s="1"/>
  <c r="AB549" i="29"/>
  <c r="AC381" i="29"/>
  <c r="AC469" i="29" s="1"/>
  <c r="AC382" i="29"/>
  <c r="AC470" i="29" s="1"/>
  <c r="AC384" i="29"/>
  <c r="AC472" i="29" s="1"/>
  <c r="AC383" i="29"/>
  <c r="AC471" i="29" s="1"/>
  <c r="AH36" i="29"/>
  <c r="AE131" i="14"/>
  <c r="AF82" i="14" s="1"/>
  <c r="AC379" i="29"/>
  <c r="AC467" i="29" s="1"/>
  <c r="AC380" i="29"/>
  <c r="AC468" i="29" s="1"/>
  <c r="AD379" i="29"/>
  <c r="AD467" i="29" s="1"/>
  <c r="AE41" i="29"/>
  <c r="AE22" i="29"/>
  <c r="AE500" i="29" s="1"/>
  <c r="AE391" i="29"/>
  <c r="AB231" i="14"/>
  <c r="AB124" i="14"/>
  <c r="AB119" i="14" s="1"/>
  <c r="AB81" i="14"/>
  <c r="AB85" i="14" s="1"/>
  <c r="AC86" i="14" s="1"/>
  <c r="AG21" i="14"/>
  <c r="AG11" i="29" s="1"/>
  <c r="AH21" i="14"/>
  <c r="AH11" i="29" s="1"/>
  <c r="AK33" i="29"/>
  <c r="AC212" i="14"/>
  <c r="AD14" i="29"/>
  <c r="AD22" i="14"/>
  <c r="AD205" i="14" s="1"/>
  <c r="AE13" i="29"/>
  <c r="AC113" i="14"/>
  <c r="AC12" i="29"/>
  <c r="AD10" i="29"/>
  <c r="AD17" i="14"/>
  <c r="AD203" i="14" s="1"/>
  <c r="AC236" i="14" s="1"/>
  <c r="AC112" i="14"/>
  <c r="AC8" i="29"/>
  <c r="AC485" i="29" s="1"/>
  <c r="AE20" i="14"/>
  <c r="AE202" i="14" s="1"/>
  <c r="AE9" i="29"/>
  <c r="AH183" i="29"/>
  <c r="O155" i="14"/>
  <c r="O157" i="14" s="1"/>
  <c r="AE330" i="29" l="1"/>
  <c r="AE331" i="29" s="1"/>
  <c r="AE442" i="29"/>
  <c r="K543" i="29"/>
  <c r="K544" i="29" s="1"/>
  <c r="J250" i="14"/>
  <c r="AB42" i="29"/>
  <c r="AD530" i="29"/>
  <c r="X430" i="29"/>
  <c r="Z419" i="29"/>
  <c r="Y428" i="29"/>
  <c r="Y182" i="29"/>
  <c r="Y429" i="29" s="1"/>
  <c r="Y517" i="29" s="1"/>
  <c r="AG303" i="29"/>
  <c r="AG306" i="29" s="1"/>
  <c r="AJ429" i="29"/>
  <c r="AJ517" i="29" s="1"/>
  <c r="AG289" i="29"/>
  <c r="AF320" i="29"/>
  <c r="AF436" i="29" s="1"/>
  <c r="AD385" i="29"/>
  <c r="AD473" i="29" s="1"/>
  <c r="AD388" i="29"/>
  <c r="AD476" i="29" s="1"/>
  <c r="AD381" i="29"/>
  <c r="AD469" i="29" s="1"/>
  <c r="AD382" i="29"/>
  <c r="AD470" i="29" s="1"/>
  <c r="AF319" i="29"/>
  <c r="AF434" i="29" s="1"/>
  <c r="AD383" i="29"/>
  <c r="AD471" i="29" s="1"/>
  <c r="AF325" i="29"/>
  <c r="AF441" i="29" s="1"/>
  <c r="AF323" i="29"/>
  <c r="AF439" i="29" s="1"/>
  <c r="AD384" i="29"/>
  <c r="AD472" i="29" s="1"/>
  <c r="AD380" i="29"/>
  <c r="AD468" i="29" s="1"/>
  <c r="AD387" i="29"/>
  <c r="AD475" i="29" s="1"/>
  <c r="AF321" i="29"/>
  <c r="AC124" i="14"/>
  <c r="AC119" i="14" s="1"/>
  <c r="AC231" i="14"/>
  <c r="AE76" i="14"/>
  <c r="AE122" i="14"/>
  <c r="AD156" i="14"/>
  <c r="Z526" i="29"/>
  <c r="AC414" i="29"/>
  <c r="AC516" i="29" s="1"/>
  <c r="AC490" i="29"/>
  <c r="AD448" i="29"/>
  <c r="AC514" i="29"/>
  <c r="AC486" i="29"/>
  <c r="AC484" i="29" s="1"/>
  <c r="AA160" i="29"/>
  <c r="AA162" i="29"/>
  <c r="AA166" i="29"/>
  <c r="AA158" i="29"/>
  <c r="AA157" i="29"/>
  <c r="AA161" i="29"/>
  <c r="AA165" i="29"/>
  <c r="AA155" i="29"/>
  <c r="AA163" i="29"/>
  <c r="AA164" i="29"/>
  <c r="AA156" i="29"/>
  <c r="AA159" i="29"/>
  <c r="AD539" i="29"/>
  <c r="AD549" i="29" s="1"/>
  <c r="AA152" i="29"/>
  <c r="AA146" i="29"/>
  <c r="AA144" i="29"/>
  <c r="AA141" i="29"/>
  <c r="AA147" i="29"/>
  <c r="AA145" i="29"/>
  <c r="AA143" i="29"/>
  <c r="AA151" i="29"/>
  <c r="AA142" i="29"/>
  <c r="AA150" i="29"/>
  <c r="AA149" i="29"/>
  <c r="AA148" i="29"/>
  <c r="AA173" i="29"/>
  <c r="AA178" i="29"/>
  <c r="AA169" i="29"/>
  <c r="AA180" i="29"/>
  <c r="AA175" i="29"/>
  <c r="AA172" i="29"/>
  <c r="AA176" i="29"/>
  <c r="AA174" i="29"/>
  <c r="AA170" i="29"/>
  <c r="AA179" i="29"/>
  <c r="AA177" i="29"/>
  <c r="AA171" i="29"/>
  <c r="AC539" i="29"/>
  <c r="AE378" i="29"/>
  <c r="AE466" i="29" s="1"/>
  <c r="AE505" i="29"/>
  <c r="AE506" i="29" s="1"/>
  <c r="AB168" i="29"/>
  <c r="AB154" i="29"/>
  <c r="AB140" i="29"/>
  <c r="AE532" i="29"/>
  <c r="AE530" i="29"/>
  <c r="K534" i="29"/>
  <c r="K497" i="29"/>
  <c r="K533" i="29" s="1"/>
  <c r="K519" i="29"/>
  <c r="Z422" i="29"/>
  <c r="AC21" i="29"/>
  <c r="AC499" i="29" s="1"/>
  <c r="AC513" i="29"/>
  <c r="Z421" i="29"/>
  <c r="Z426" i="29"/>
  <c r="Z537" i="29" s="1"/>
  <c r="Z425" i="29"/>
  <c r="Z536" i="29" s="1"/>
  <c r="AF433" i="29"/>
  <c r="Z416" i="29"/>
  <c r="AF318" i="29"/>
  <c r="AF435" i="29" s="1"/>
  <c r="AF328" i="29"/>
  <c r="AF444" i="29" s="1"/>
  <c r="Z424" i="29"/>
  <c r="Z535" i="29" s="1"/>
  <c r="AF438" i="29"/>
  <c r="AF529" i="29" s="1"/>
  <c r="Z417" i="29"/>
  <c r="AF326" i="29"/>
  <c r="AF442" i="29" s="1"/>
  <c r="AG433" i="29"/>
  <c r="Z418" i="29"/>
  <c r="AF437" i="29"/>
  <c r="AE227" i="29"/>
  <c r="AE447" i="29" s="1"/>
  <c r="AE446" i="29"/>
  <c r="AB390" i="29"/>
  <c r="AB477" i="29" s="1"/>
  <c r="AB479" i="29" s="1"/>
  <c r="AB478" i="29"/>
  <c r="AF329" i="29"/>
  <c r="AF445" i="29" s="1"/>
  <c r="AF324" i="29"/>
  <c r="AF440" i="29" s="1"/>
  <c r="AF327" i="29"/>
  <c r="AF443" i="29" s="1"/>
  <c r="Z427" i="29"/>
  <c r="Z538" i="29" s="1"/>
  <c r="AH287" i="29"/>
  <c r="AK287" i="29" s="1"/>
  <c r="AH432" i="29"/>
  <c r="Z420" i="29"/>
  <c r="Z423" i="29"/>
  <c r="AB547" i="29"/>
  <c r="AC389" i="29"/>
  <c r="AG190" i="29"/>
  <c r="AG188" i="29"/>
  <c r="AG196" i="29"/>
  <c r="AG197" i="29"/>
  <c r="AG193" i="29"/>
  <c r="AG191" i="29"/>
  <c r="AG189" i="29"/>
  <c r="AG194" i="29"/>
  <c r="AG192" i="29"/>
  <c r="AG195" i="29"/>
  <c r="AG211" i="29"/>
  <c r="AG203" i="29"/>
  <c r="AG205" i="29"/>
  <c r="AG206" i="29"/>
  <c r="AG207" i="29"/>
  <c r="AG209" i="29"/>
  <c r="AG208" i="29"/>
  <c r="AG210" i="29"/>
  <c r="AG202" i="29"/>
  <c r="AG204" i="29"/>
  <c r="AG314" i="29"/>
  <c r="AG315" i="29"/>
  <c r="AG308" i="29"/>
  <c r="AG310" i="29"/>
  <c r="AG301" i="29"/>
  <c r="AG298" i="29"/>
  <c r="AG294" i="29"/>
  <c r="AG299" i="29"/>
  <c r="AG295" i="29"/>
  <c r="AG292" i="29"/>
  <c r="AG300" i="29"/>
  <c r="AG293" i="29"/>
  <c r="AG297" i="29"/>
  <c r="AG296" i="29"/>
  <c r="AH185" i="29"/>
  <c r="AH213" i="29"/>
  <c r="AH199" i="29"/>
  <c r="AG216" i="29"/>
  <c r="AG217" i="29"/>
  <c r="AG222" i="29"/>
  <c r="AG218" i="29"/>
  <c r="AG225" i="29"/>
  <c r="AG219" i="29"/>
  <c r="AG221" i="29"/>
  <c r="AG224" i="29"/>
  <c r="AG223" i="29"/>
  <c r="AG220" i="29"/>
  <c r="AG329" i="29"/>
  <c r="AG325" i="29"/>
  <c r="AG327" i="29"/>
  <c r="AG328" i="29"/>
  <c r="AG321" i="29"/>
  <c r="AG322" i="29"/>
  <c r="AG326" i="29"/>
  <c r="AG324" i="29"/>
  <c r="AG323" i="29"/>
  <c r="AG320" i="29"/>
  <c r="AG319" i="29"/>
  <c r="AG318" i="29"/>
  <c r="AG290" i="29"/>
  <c r="AG291" i="29"/>
  <c r="AG304" i="29"/>
  <c r="AF226" i="29"/>
  <c r="AG186" i="29"/>
  <c r="AG187" i="29"/>
  <c r="AG201" i="29"/>
  <c r="AG200" i="29"/>
  <c r="AG215" i="29"/>
  <c r="AG214" i="29"/>
  <c r="AD31" i="29"/>
  <c r="AC138" i="29"/>
  <c r="Z181" i="29"/>
  <c r="AE229" i="14"/>
  <c r="AA559" i="29"/>
  <c r="AB563" i="29"/>
  <c r="AA561" i="29"/>
  <c r="AF75" i="14"/>
  <c r="AF39" i="29"/>
  <c r="AF505" i="29" s="1"/>
  <c r="AF506" i="29" s="1"/>
  <c r="X546" i="29"/>
  <c r="AB545" i="29"/>
  <c r="Y546" i="29"/>
  <c r="D197" i="52"/>
  <c r="AK265" i="29"/>
  <c r="AK263" i="29"/>
  <c r="AK270" i="29"/>
  <c r="AK262" i="29"/>
  <c r="AK264" i="29"/>
  <c r="AK267" i="29"/>
  <c r="AK268" i="29"/>
  <c r="AK266" i="29"/>
  <c r="AK261" i="29"/>
  <c r="AK269" i="29"/>
  <c r="AK254" i="29"/>
  <c r="AK252" i="29"/>
  <c r="AK248" i="29"/>
  <c r="AK253" i="29"/>
  <c r="AK251" i="29"/>
  <c r="AK256" i="29"/>
  <c r="AK249" i="29"/>
  <c r="AK247" i="29"/>
  <c r="AK255" i="29"/>
  <c r="AK250" i="29"/>
  <c r="AK236" i="29"/>
  <c r="AK234" i="29"/>
  <c r="AK235" i="29"/>
  <c r="AK239" i="29"/>
  <c r="AK233" i="29"/>
  <c r="AK242" i="29"/>
  <c r="AK237" i="29"/>
  <c r="AK241" i="29"/>
  <c r="AK238" i="29"/>
  <c r="AK240" i="29"/>
  <c r="AK232" i="29"/>
  <c r="AK231" i="29"/>
  <c r="AK230" i="29"/>
  <c r="AK246" i="29"/>
  <c r="AK245" i="29"/>
  <c r="AK244" i="29"/>
  <c r="AK260" i="29"/>
  <c r="AK259" i="29"/>
  <c r="AK258" i="29"/>
  <c r="K126" i="14"/>
  <c r="K128" i="14" s="1"/>
  <c r="L127" i="14" s="1"/>
  <c r="K138" i="14"/>
  <c r="K139" i="14" s="1"/>
  <c r="K23" i="29"/>
  <c r="M96" i="14"/>
  <c r="M97" i="14" s="1"/>
  <c r="AC81" i="14"/>
  <c r="AC85" i="14" s="1"/>
  <c r="AD86" i="14" s="1"/>
  <c r="L88" i="14"/>
  <c r="M89" i="14" s="1"/>
  <c r="L102" i="14"/>
  <c r="AH197" i="14"/>
  <c r="AH198" i="14"/>
  <c r="AH193" i="14"/>
  <c r="AH40" i="29" s="1"/>
  <c r="AH194" i="14"/>
  <c r="AG189" i="14"/>
  <c r="AG190" i="14"/>
  <c r="AD42" i="14"/>
  <c r="AD72" i="14" s="1"/>
  <c r="AE156" i="14"/>
  <c r="AB84" i="14"/>
  <c r="AC549" i="29"/>
  <c r="AK332" i="29"/>
  <c r="AK183" i="29"/>
  <c r="AF41" i="29"/>
  <c r="AF22" i="29"/>
  <c r="AF500" i="29" s="1"/>
  <c r="AF391" i="29"/>
  <c r="AF131" i="14"/>
  <c r="AG82" i="14" s="1"/>
  <c r="AK11" i="29"/>
  <c r="AK28" i="29"/>
  <c r="AE17" i="14"/>
  <c r="AE203" i="14" s="1"/>
  <c r="AD236" i="14" s="1"/>
  <c r="AE10" i="29"/>
  <c r="AD112" i="14"/>
  <c r="AD8" i="29"/>
  <c r="AD485" i="29" s="1"/>
  <c r="AD212" i="14"/>
  <c r="AF13" i="29"/>
  <c r="AF20" i="14"/>
  <c r="AF202" i="14" s="1"/>
  <c r="AF9" i="29"/>
  <c r="AE14" i="29"/>
  <c r="AE22" i="14"/>
  <c r="AE205" i="14" s="1"/>
  <c r="AD12" i="29"/>
  <c r="AD113" i="14"/>
  <c r="AK29" i="29"/>
  <c r="AK32" i="29"/>
  <c r="AK273" i="29"/>
  <c r="AK449" i="29" s="1"/>
  <c r="AK36" i="29"/>
  <c r="AE388" i="29" l="1"/>
  <c r="AE476" i="29" s="1"/>
  <c r="AA426" i="29"/>
  <c r="AA537" i="29" s="1"/>
  <c r="AE386" i="29"/>
  <c r="AE474" i="29" s="1"/>
  <c r="AD389" i="29"/>
  <c r="AD390" i="29" s="1"/>
  <c r="AD477" i="29" s="1"/>
  <c r="AD479" i="29" s="1"/>
  <c r="AE380" i="29"/>
  <c r="AE468" i="29" s="1"/>
  <c r="AE384" i="29"/>
  <c r="AE472" i="29" s="1"/>
  <c r="AE385" i="29"/>
  <c r="AE473" i="29" s="1"/>
  <c r="AE379" i="29"/>
  <c r="AE467" i="29" s="1"/>
  <c r="AE539" i="29" s="1"/>
  <c r="AE549" i="29" s="1"/>
  <c r="AE383" i="29"/>
  <c r="AE471" i="29" s="1"/>
  <c r="AE381" i="29"/>
  <c r="AE469" i="29" s="1"/>
  <c r="AE382" i="29"/>
  <c r="AE470" i="29" s="1"/>
  <c r="AE387" i="29"/>
  <c r="AE475" i="29" s="1"/>
  <c r="AG312" i="29"/>
  <c r="AG305" i="29"/>
  <c r="AG313" i="29"/>
  <c r="AG309" i="29"/>
  <c r="AG311" i="29"/>
  <c r="AG441" i="29" s="1"/>
  <c r="AG307" i="29"/>
  <c r="AG437" i="29" s="1"/>
  <c r="AH303" i="29"/>
  <c r="AH313" i="29" s="1"/>
  <c r="Z428" i="29"/>
  <c r="Z182" i="29"/>
  <c r="Z429" i="29" s="1"/>
  <c r="Z517" i="29" s="1"/>
  <c r="Y430" i="29"/>
  <c r="AC42" i="29"/>
  <c r="AJ430" i="29"/>
  <c r="AA427" i="29"/>
  <c r="AA538" i="29" s="1"/>
  <c r="AA422" i="29"/>
  <c r="AA420" i="29"/>
  <c r="AF330" i="29"/>
  <c r="AF331" i="29" s="1"/>
  <c r="AF76" i="14"/>
  <c r="AF122" i="14" s="1"/>
  <c r="AA425" i="29"/>
  <c r="AA536" i="29" s="1"/>
  <c r="AA526" i="29"/>
  <c r="AD514" i="29"/>
  <c r="AD486" i="29"/>
  <c r="AD484" i="29" s="1"/>
  <c r="Z521" i="29"/>
  <c r="AB164" i="29"/>
  <c r="AB157" i="29"/>
  <c r="AB163" i="29"/>
  <c r="AB156" i="29"/>
  <c r="AB165" i="29"/>
  <c r="AB161" i="29"/>
  <c r="AB158" i="29"/>
  <c r="AB155" i="29"/>
  <c r="AB159" i="29"/>
  <c r="AB166" i="29"/>
  <c r="AB160" i="29"/>
  <c r="AB162" i="29"/>
  <c r="AB176" i="29"/>
  <c r="AB173" i="29"/>
  <c r="AB169" i="29"/>
  <c r="AB180" i="29"/>
  <c r="AB175" i="29"/>
  <c r="AB172" i="29"/>
  <c r="AB170" i="29"/>
  <c r="AB171" i="29"/>
  <c r="AB178" i="29"/>
  <c r="AB174" i="29"/>
  <c r="AB177" i="29"/>
  <c r="AB179" i="29"/>
  <c r="AG436" i="29"/>
  <c r="AC168" i="29"/>
  <c r="AC154" i="29"/>
  <c r="AC140" i="29"/>
  <c r="AD414" i="29"/>
  <c r="AD516" i="29" s="1"/>
  <c r="AD490" i="29"/>
  <c r="AB149" i="29"/>
  <c r="AB147" i="29"/>
  <c r="AB145" i="29"/>
  <c r="AB146" i="29"/>
  <c r="AB151" i="29"/>
  <c r="AB148" i="29"/>
  <c r="AB142" i="29"/>
  <c r="AB143" i="29"/>
  <c r="AB150" i="29"/>
  <c r="AB152" i="29"/>
  <c r="AB141" i="29"/>
  <c r="AB144" i="29"/>
  <c r="AF532" i="29"/>
  <c r="AF530" i="29"/>
  <c r="K488" i="29"/>
  <c r="K501" i="29" s="1"/>
  <c r="K507" i="29" s="1"/>
  <c r="K520" i="29" s="1"/>
  <c r="K522" i="29" s="1"/>
  <c r="AH289" i="29"/>
  <c r="AH292" i="29" s="1"/>
  <c r="AD21" i="29"/>
  <c r="AD499" i="29" s="1"/>
  <c r="AD513" i="29"/>
  <c r="AH317" i="29"/>
  <c r="AH329" i="29" s="1"/>
  <c r="AA419" i="29"/>
  <c r="AB561" i="29"/>
  <c r="AA416" i="29"/>
  <c r="AK432" i="29"/>
  <c r="AG435" i="29"/>
  <c r="AA421" i="29"/>
  <c r="AG439" i="29"/>
  <c r="AA418" i="29"/>
  <c r="AB415" i="29"/>
  <c r="AF227" i="29"/>
  <c r="AA423" i="29"/>
  <c r="AG445" i="29"/>
  <c r="AD478" i="29"/>
  <c r="AG444" i="29"/>
  <c r="AG443" i="29"/>
  <c r="AG440" i="29"/>
  <c r="AG438" i="29"/>
  <c r="AG529" i="29" s="1"/>
  <c r="AE448" i="29"/>
  <c r="AA417" i="29"/>
  <c r="AK396" i="29"/>
  <c r="AG434" i="29"/>
  <c r="AA424" i="29"/>
  <c r="AA535" i="29" s="1"/>
  <c r="AG442" i="29"/>
  <c r="AC390" i="29"/>
  <c r="AC477" i="29" s="1"/>
  <c r="AC479" i="29" s="1"/>
  <c r="AC478" i="29"/>
  <c r="AC547" i="29"/>
  <c r="AH204" i="29"/>
  <c r="AK204" i="29" s="1"/>
  <c r="AH206" i="29"/>
  <c r="AK206" i="29" s="1"/>
  <c r="AH211" i="29"/>
  <c r="AH207" i="29"/>
  <c r="AH210" i="29"/>
  <c r="AH208" i="29"/>
  <c r="AH202" i="29"/>
  <c r="AK202" i="29" s="1"/>
  <c r="AH203" i="29"/>
  <c r="AK203" i="29" s="1"/>
  <c r="AH205" i="29"/>
  <c r="AK205" i="29" s="1"/>
  <c r="AH209" i="29"/>
  <c r="AH223" i="29"/>
  <c r="AH218" i="29"/>
  <c r="AK218" i="29" s="1"/>
  <c r="AH222" i="29"/>
  <c r="AH224" i="29"/>
  <c r="AH216" i="29"/>
  <c r="AK216" i="29" s="1"/>
  <c r="AH225" i="29"/>
  <c r="AH220" i="29"/>
  <c r="AK220" i="29" s="1"/>
  <c r="AH219" i="29"/>
  <c r="AK219" i="29" s="1"/>
  <c r="AH221" i="29"/>
  <c r="AH217" i="29"/>
  <c r="AK217" i="29" s="1"/>
  <c r="AH191" i="29"/>
  <c r="AK191" i="29" s="1"/>
  <c r="AH189" i="29"/>
  <c r="AK189" i="29" s="1"/>
  <c r="AH197" i="29"/>
  <c r="AH192" i="29"/>
  <c r="AH194" i="29"/>
  <c r="AH193" i="29"/>
  <c r="AH190" i="29"/>
  <c r="AH195" i="29"/>
  <c r="AH196" i="29"/>
  <c r="AH188" i="29"/>
  <c r="AK188" i="29" s="1"/>
  <c r="AE389" i="29"/>
  <c r="AH306" i="29"/>
  <c r="AG330" i="29"/>
  <c r="AG331" i="29" s="1"/>
  <c r="AH305" i="29"/>
  <c r="AK305" i="29" s="1"/>
  <c r="AE31" i="29"/>
  <c r="AD138" i="29"/>
  <c r="AA181" i="29"/>
  <c r="AH186" i="29"/>
  <c r="AH187" i="29"/>
  <c r="AH200" i="29"/>
  <c r="AK200" i="29" s="1"/>
  <c r="AH201" i="29"/>
  <c r="AK201" i="29" s="1"/>
  <c r="AH215" i="29"/>
  <c r="AK215" i="29" s="1"/>
  <c r="AH214" i="29"/>
  <c r="AK214" i="29" s="1"/>
  <c r="AG226" i="29"/>
  <c r="K548" i="29"/>
  <c r="K562" i="29" s="1"/>
  <c r="AF378" i="29"/>
  <c r="AF466" i="29" s="1"/>
  <c r="AF229" i="14"/>
  <c r="AJ546" i="29"/>
  <c r="X560" i="29"/>
  <c r="AC563" i="29"/>
  <c r="AD563" i="29" s="1"/>
  <c r="AB559" i="29"/>
  <c r="D193" i="52"/>
  <c r="Y192" i="52" s="1"/>
  <c r="AK40" i="29"/>
  <c r="AG75" i="14"/>
  <c r="AG39" i="29"/>
  <c r="AG505" i="29" s="1"/>
  <c r="AG506" i="29" s="1"/>
  <c r="AC545" i="29"/>
  <c r="Z546" i="29"/>
  <c r="Y193" i="52"/>
  <c r="AK271" i="29"/>
  <c r="AK272" i="29"/>
  <c r="AC84" i="14"/>
  <c r="M93" i="14"/>
  <c r="M94" i="14" s="1"/>
  <c r="L140" i="14"/>
  <c r="K141" i="14"/>
  <c r="K142" i="14" s="1"/>
  <c r="L104" i="14"/>
  <c r="L103" i="14"/>
  <c r="N98" i="14"/>
  <c r="AD81" i="14"/>
  <c r="AD85" i="14" s="1"/>
  <c r="AE86" i="14" s="1"/>
  <c r="AH189" i="14"/>
  <c r="AH190" i="14"/>
  <c r="AE42" i="14"/>
  <c r="AE72" i="14" s="1"/>
  <c r="AK364" i="29"/>
  <c r="AK363" i="29"/>
  <c r="AK336" i="29"/>
  <c r="AK335" i="29"/>
  <c r="AK349" i="29"/>
  <c r="AK350" i="29"/>
  <c r="AK340" i="29"/>
  <c r="AK341" i="29"/>
  <c r="AK368" i="29"/>
  <c r="AK369" i="29"/>
  <c r="AK367" i="29"/>
  <c r="AK353" i="29"/>
  <c r="AK355" i="29"/>
  <c r="AK354" i="29"/>
  <c r="AK339" i="29"/>
  <c r="AK334" i="29"/>
  <c r="AK303" i="29"/>
  <c r="AK348" i="29"/>
  <c r="AK362" i="29"/>
  <c r="AK199" i="29"/>
  <c r="AK185" i="29"/>
  <c r="AK213" i="29"/>
  <c r="AK47" i="29"/>
  <c r="AK92" i="29"/>
  <c r="AG41" i="29"/>
  <c r="AG22" i="29"/>
  <c r="AG500" i="29" s="1"/>
  <c r="AG391" i="29"/>
  <c r="AH131" i="14"/>
  <c r="AG131" i="14"/>
  <c r="AH82" i="14" s="1"/>
  <c r="AE12" i="29"/>
  <c r="AE113" i="14"/>
  <c r="AF17" i="14"/>
  <c r="AF203" i="14" s="1"/>
  <c r="AE236" i="14" s="1"/>
  <c r="AF10" i="29"/>
  <c r="AG13" i="29"/>
  <c r="AE112" i="14"/>
  <c r="AE8" i="29"/>
  <c r="AE485" i="29" s="1"/>
  <c r="AG20" i="14"/>
  <c r="AG202" i="14" s="1"/>
  <c r="AG9" i="29"/>
  <c r="AF14" i="29"/>
  <c r="AF22" i="14"/>
  <c r="AF205" i="14" s="1"/>
  <c r="AE212" i="14"/>
  <c r="AK284" i="29"/>
  <c r="AK460" i="29" s="1"/>
  <c r="AK279" i="29"/>
  <c r="AK455" i="29" s="1"/>
  <c r="AK274" i="29"/>
  <c r="AK450" i="29" s="1"/>
  <c r="AH296" i="29" l="1"/>
  <c r="AH300" i="29"/>
  <c r="AD42" i="29"/>
  <c r="AB424" i="29"/>
  <c r="AB535" i="29" s="1"/>
  <c r="AH309" i="29"/>
  <c r="AK309" i="29" s="1"/>
  <c r="AH299" i="29"/>
  <c r="AK299" i="29" s="1"/>
  <c r="AH293" i="29"/>
  <c r="AH304" i="29"/>
  <c r="AK304" i="29" s="1"/>
  <c r="AH314" i="29"/>
  <c r="AH297" i="29"/>
  <c r="AB421" i="29"/>
  <c r="AH290" i="29"/>
  <c r="AK290" i="29" s="1"/>
  <c r="AH308" i="29"/>
  <c r="AH301" i="29"/>
  <c r="AH445" i="29" s="1"/>
  <c r="AK445" i="29" s="1"/>
  <c r="AH291" i="29"/>
  <c r="AK291" i="29" s="1"/>
  <c r="AH312" i="29"/>
  <c r="AH298" i="29"/>
  <c r="AK298" i="29" s="1"/>
  <c r="AH307" i="29"/>
  <c r="AK289" i="29"/>
  <c r="AH295" i="29"/>
  <c r="AH310" i="29"/>
  <c r="AH311" i="29"/>
  <c r="AH294" i="29"/>
  <c r="AH315" i="29"/>
  <c r="AH326" i="29"/>
  <c r="AH322" i="29"/>
  <c r="AF447" i="29"/>
  <c r="AH328" i="29"/>
  <c r="AH444" i="29" s="1"/>
  <c r="AK444" i="29" s="1"/>
  <c r="AH321" i="29"/>
  <c r="AK317" i="29"/>
  <c r="AF446" i="29"/>
  <c r="AA428" i="29"/>
  <c r="AA182" i="29"/>
  <c r="AA429" i="29" s="1"/>
  <c r="AA517" i="29" s="1"/>
  <c r="Z430" i="29"/>
  <c r="AH319" i="29"/>
  <c r="AK319" i="29" s="1"/>
  <c r="AB427" i="29"/>
  <c r="AB538" i="29" s="1"/>
  <c r="AB423" i="29"/>
  <c r="AH327" i="29"/>
  <c r="AH324" i="29"/>
  <c r="AH433" i="29"/>
  <c r="AH318" i="29"/>
  <c r="AK318" i="29" s="1"/>
  <c r="AH325" i="29"/>
  <c r="AB425" i="29"/>
  <c r="AB536" i="29" s="1"/>
  <c r="AH323" i="29"/>
  <c r="AK323" i="29" s="1"/>
  <c r="AD124" i="14"/>
  <c r="AD119" i="14" s="1"/>
  <c r="AD231" i="14"/>
  <c r="AG229" i="14"/>
  <c r="AG76" i="14"/>
  <c r="AG122" i="14" s="1"/>
  <c r="AH320" i="29"/>
  <c r="AK320" i="29" s="1"/>
  <c r="AB526" i="29"/>
  <c r="AC157" i="29"/>
  <c r="AC166" i="29"/>
  <c r="AC159" i="29"/>
  <c r="AC160" i="29"/>
  <c r="AC161" i="29"/>
  <c r="AC162" i="29"/>
  <c r="AC163" i="29"/>
  <c r="AC155" i="29"/>
  <c r="AC165" i="29"/>
  <c r="AC164" i="29"/>
  <c r="AC158" i="29"/>
  <c r="AC156" i="29"/>
  <c r="AC177" i="29"/>
  <c r="AC175" i="29"/>
  <c r="AC169" i="29"/>
  <c r="AC178" i="29"/>
  <c r="AC172" i="29"/>
  <c r="AC173" i="29"/>
  <c r="AC179" i="29"/>
  <c r="AC171" i="29"/>
  <c r="AC180" i="29"/>
  <c r="AC176" i="29"/>
  <c r="AC170" i="29"/>
  <c r="AC174" i="29"/>
  <c r="AD168" i="29"/>
  <c r="AD154" i="29"/>
  <c r="AD140" i="29"/>
  <c r="AF386" i="29"/>
  <c r="AF474" i="29" s="1"/>
  <c r="AE414" i="29"/>
  <c r="AE516" i="29" s="1"/>
  <c r="AE490" i="29"/>
  <c r="AE514" i="29"/>
  <c r="AE486" i="29"/>
  <c r="AE484" i="29" s="1"/>
  <c r="AA521" i="29"/>
  <c r="AC142" i="29"/>
  <c r="AC147" i="29"/>
  <c r="AC144" i="29"/>
  <c r="AC152" i="29"/>
  <c r="AC148" i="29"/>
  <c r="AC150" i="29"/>
  <c r="AC145" i="29"/>
  <c r="AC146" i="29"/>
  <c r="AC143" i="29"/>
  <c r="AC141" i="29"/>
  <c r="AC151" i="29"/>
  <c r="AC149" i="29"/>
  <c r="AG532" i="29"/>
  <c r="AG530" i="29"/>
  <c r="K528" i="29"/>
  <c r="K540" i="29" s="1"/>
  <c r="AC561" i="29"/>
  <c r="AC415" i="29"/>
  <c r="AF388" i="29"/>
  <c r="AF476" i="29" s="1"/>
  <c r="AB416" i="29"/>
  <c r="AE21" i="29"/>
  <c r="AE499" i="29" s="1"/>
  <c r="AE513" i="29"/>
  <c r="AF385" i="29"/>
  <c r="AF473" i="29" s="1"/>
  <c r="AB417" i="29"/>
  <c r="AB426" i="29"/>
  <c r="AB537" i="29" s="1"/>
  <c r="AH437" i="29"/>
  <c r="AK437" i="29" s="1"/>
  <c r="AE390" i="29"/>
  <c r="AE477" i="29" s="1"/>
  <c r="AE479" i="29" s="1"/>
  <c r="AE478" i="29"/>
  <c r="AB420" i="29"/>
  <c r="AG378" i="29"/>
  <c r="AG466" i="29" s="1"/>
  <c r="AB419" i="29"/>
  <c r="AH443" i="29"/>
  <c r="AK443" i="29" s="1"/>
  <c r="AG227" i="29"/>
  <c r="AG447" i="29" s="1"/>
  <c r="AG446" i="29"/>
  <c r="AK187" i="29"/>
  <c r="AH434" i="29"/>
  <c r="AK434" i="29" s="1"/>
  <c r="AB422" i="29"/>
  <c r="AF387" i="29"/>
  <c r="AF475" i="29" s="1"/>
  <c r="AK186" i="29"/>
  <c r="AB418" i="29"/>
  <c r="AH438" i="29"/>
  <c r="AH442" i="29"/>
  <c r="AK442" i="29" s="1"/>
  <c r="AH440" i="29"/>
  <c r="AK440" i="29" s="1"/>
  <c r="AF380" i="29"/>
  <c r="AF468" i="29" s="1"/>
  <c r="AH226" i="29"/>
  <c r="AF31" i="29"/>
  <c r="AE138" i="29"/>
  <c r="AB181" i="29"/>
  <c r="AK64" i="29"/>
  <c r="AF379" i="29"/>
  <c r="AF467" i="29" s="1"/>
  <c r="AF539" i="29" s="1"/>
  <c r="AF382" i="29"/>
  <c r="AF470" i="29" s="1"/>
  <c r="AF383" i="29"/>
  <c r="AF471" i="29" s="1"/>
  <c r="AF384" i="29"/>
  <c r="AF472" i="29" s="1"/>
  <c r="AF381" i="29"/>
  <c r="AF469" i="29" s="1"/>
  <c r="AK294" i="29"/>
  <c r="AK296" i="29"/>
  <c r="AK322" i="29"/>
  <c r="AK310" i="29"/>
  <c r="AC559" i="29"/>
  <c r="AE563" i="29"/>
  <c r="AK306" i="29"/>
  <c r="Y560" i="29"/>
  <c r="Z560" i="29" s="1"/>
  <c r="AJ560" i="29"/>
  <c r="AH75" i="14"/>
  <c r="AH39" i="29"/>
  <c r="AK295" i="29"/>
  <c r="AD545" i="29"/>
  <c r="AA546" i="29"/>
  <c r="AD84" i="14"/>
  <c r="AK307" i="29"/>
  <c r="AF156" i="14"/>
  <c r="AK324" i="29"/>
  <c r="AK292" i="29"/>
  <c r="AK293" i="29"/>
  <c r="AK276" i="29"/>
  <c r="AK452" i="29" s="1"/>
  <c r="AK321" i="29"/>
  <c r="AK308" i="29"/>
  <c r="AK281" i="29"/>
  <c r="AD547" i="29"/>
  <c r="AK190" i="29"/>
  <c r="M90" i="14"/>
  <c r="M91" i="14" s="1"/>
  <c r="N92" i="14" s="1"/>
  <c r="N99" i="14"/>
  <c r="N100" i="14" s="1"/>
  <c r="N95" i="14"/>
  <c r="M101" i="14"/>
  <c r="L83" i="14"/>
  <c r="L228" i="14" s="1"/>
  <c r="L17" i="29"/>
  <c r="AF42" i="14"/>
  <c r="AF72" i="14" s="1"/>
  <c r="AE231" i="14"/>
  <c r="AK95" i="29"/>
  <c r="AK96" i="29"/>
  <c r="AK79" i="29"/>
  <c r="AK78" i="29"/>
  <c r="AK80" i="29"/>
  <c r="AK110" i="29"/>
  <c r="AK109" i="29"/>
  <c r="AK65" i="29"/>
  <c r="AK123" i="29"/>
  <c r="AK124" i="29"/>
  <c r="AK372" i="29"/>
  <c r="AK373" i="29"/>
  <c r="AK374" i="29"/>
  <c r="AK371" i="29"/>
  <c r="AK344" i="29"/>
  <c r="AK345" i="29"/>
  <c r="AK346" i="29"/>
  <c r="AK343" i="29"/>
  <c r="AK313" i="29"/>
  <c r="AK314" i="29"/>
  <c r="AK315" i="29"/>
  <c r="AK312" i="29"/>
  <c r="AK360" i="29"/>
  <c r="AK357" i="29"/>
  <c r="AK358" i="29"/>
  <c r="AK359" i="29"/>
  <c r="AK329" i="29"/>
  <c r="AK326" i="29"/>
  <c r="AK327" i="29"/>
  <c r="AK301" i="29"/>
  <c r="AK300" i="29"/>
  <c r="AK112" i="29"/>
  <c r="AK111" i="29"/>
  <c r="AK126" i="29"/>
  <c r="AK125" i="29"/>
  <c r="AK81" i="29"/>
  <c r="AK98" i="29"/>
  <c r="AK97" i="29"/>
  <c r="AK67" i="29"/>
  <c r="AK66" i="29"/>
  <c r="AK192" i="29"/>
  <c r="AG383" i="29"/>
  <c r="AG471" i="29" s="1"/>
  <c r="AK356" i="29"/>
  <c r="AK297" i="29"/>
  <c r="AK342" i="29"/>
  <c r="AK311" i="29"/>
  <c r="AK325" i="29"/>
  <c r="AK370" i="29"/>
  <c r="AK223" i="29"/>
  <c r="AK224" i="29"/>
  <c r="AK222" i="29"/>
  <c r="AK225" i="29"/>
  <c r="AK221" i="29"/>
  <c r="AK193" i="29"/>
  <c r="AK209" i="29"/>
  <c r="AK211" i="29"/>
  <c r="AK210" i="29"/>
  <c r="AK208" i="29"/>
  <c r="AK207" i="29"/>
  <c r="AK114" i="29"/>
  <c r="AK115" i="29"/>
  <c r="AK113" i="29"/>
  <c r="AK129" i="29"/>
  <c r="AK128" i="29"/>
  <c r="AK127" i="29"/>
  <c r="AK122" i="29"/>
  <c r="AK94" i="29"/>
  <c r="AK108" i="29"/>
  <c r="AK69" i="29"/>
  <c r="AK70" i="29"/>
  <c r="AK63" i="29"/>
  <c r="AK77" i="29"/>
  <c r="AK49" i="29"/>
  <c r="AG380" i="29"/>
  <c r="AG468" i="29" s="1"/>
  <c r="AG379" i="29"/>
  <c r="AG467" i="29" s="1"/>
  <c r="AH41" i="29"/>
  <c r="AK41" i="29" s="1"/>
  <c r="AH22" i="29"/>
  <c r="AH500" i="29" s="1"/>
  <c r="AK500" i="29" s="1"/>
  <c r="AH391" i="29"/>
  <c r="AK391" i="29" s="1"/>
  <c r="AI82" i="14"/>
  <c r="AG10" i="29"/>
  <c r="AG17" i="14"/>
  <c r="AG203" i="14" s="1"/>
  <c r="AF236" i="14" s="1"/>
  <c r="AH13" i="29"/>
  <c r="AF112" i="14"/>
  <c r="AF8" i="29"/>
  <c r="AF485" i="29" s="1"/>
  <c r="AF113" i="14"/>
  <c r="AF12" i="29"/>
  <c r="AH20" i="14"/>
  <c r="AH202" i="14" s="1"/>
  <c r="AH9" i="29"/>
  <c r="AK9" i="29" s="1"/>
  <c r="AG14" i="29"/>
  <c r="AG22" i="14"/>
  <c r="AG205" i="14" s="1"/>
  <c r="AF212" i="14"/>
  <c r="AK278" i="29"/>
  <c r="AK454" i="29" s="1"/>
  <c r="AK277" i="29"/>
  <c r="AK453" i="29" s="1"/>
  <c r="AK283" i="29"/>
  <c r="AK459" i="29" s="1"/>
  <c r="AK282" i="29"/>
  <c r="AK458" i="29" s="1"/>
  <c r="L232" i="14" l="1"/>
  <c r="K247" i="14"/>
  <c r="K249" i="14" s="1"/>
  <c r="AG382" i="29"/>
  <c r="AG470" i="29" s="1"/>
  <c r="AG381" i="29"/>
  <c r="AG469" i="29" s="1"/>
  <c r="AG385" i="29"/>
  <c r="AG473" i="29" s="1"/>
  <c r="AG387" i="29"/>
  <c r="AG475" i="29" s="1"/>
  <c r="AK433" i="29"/>
  <c r="AH441" i="29"/>
  <c r="AK441" i="29" s="1"/>
  <c r="AF448" i="29"/>
  <c r="AH439" i="29"/>
  <c r="AK439" i="29" s="1"/>
  <c r="AH330" i="29"/>
  <c r="AH331" i="29" s="1"/>
  <c r="AK328" i="29"/>
  <c r="AB428" i="29"/>
  <c r="AB182" i="29"/>
  <c r="AB429" i="29" s="1"/>
  <c r="AB517" i="29" s="1"/>
  <c r="AA430" i="29"/>
  <c r="AE42" i="29"/>
  <c r="AH435" i="29"/>
  <c r="AK435" i="29" s="1"/>
  <c r="AG384" i="29"/>
  <c r="AG472" i="29" s="1"/>
  <c r="AG386" i="29"/>
  <c r="AG474" i="29" s="1"/>
  <c r="AG539" i="29"/>
  <c r="AG549" i="29" s="1"/>
  <c r="AG388" i="29"/>
  <c r="AG476" i="29" s="1"/>
  <c r="AH436" i="29"/>
  <c r="AK436" i="29" s="1"/>
  <c r="AH76" i="14"/>
  <c r="AH122" i="14" s="1"/>
  <c r="L19" i="29"/>
  <c r="L18" i="29"/>
  <c r="L496" i="29" s="1"/>
  <c r="L20" i="29"/>
  <c r="L498" i="29" s="1"/>
  <c r="K558" i="29"/>
  <c r="AC422" i="29"/>
  <c r="AD561" i="29"/>
  <c r="AK397" i="29"/>
  <c r="AK13" i="29"/>
  <c r="AK487" i="29"/>
  <c r="AK39" i="29"/>
  <c r="AH505" i="29"/>
  <c r="AD146" i="29"/>
  <c r="AD145" i="29"/>
  <c r="AD143" i="29"/>
  <c r="AD144" i="29"/>
  <c r="AD150" i="29"/>
  <c r="AD151" i="29"/>
  <c r="AD147" i="29"/>
  <c r="AD149" i="29"/>
  <c r="AD148" i="29"/>
  <c r="AD142" i="29"/>
  <c r="AD141" i="29"/>
  <c r="AD152" i="29"/>
  <c r="AE168" i="29"/>
  <c r="AE154" i="29"/>
  <c r="AE140" i="29"/>
  <c r="AD161" i="29"/>
  <c r="AD166" i="29"/>
  <c r="AD162" i="29"/>
  <c r="AD156" i="29"/>
  <c r="AD158" i="29"/>
  <c r="AD164" i="29"/>
  <c r="AD160" i="29"/>
  <c r="AD155" i="29"/>
  <c r="AD165" i="29"/>
  <c r="AD163" i="29"/>
  <c r="AD157" i="29"/>
  <c r="AD159" i="29"/>
  <c r="AF514" i="29"/>
  <c r="AF486" i="29"/>
  <c r="AF484" i="29" s="1"/>
  <c r="AF414" i="29"/>
  <c r="AF516" i="29" s="1"/>
  <c r="AF490" i="29"/>
  <c r="AC526" i="29"/>
  <c r="AD174" i="29"/>
  <c r="AD178" i="29"/>
  <c r="AD176" i="29"/>
  <c r="AD180" i="29"/>
  <c r="AD172" i="29"/>
  <c r="AD170" i="29"/>
  <c r="AD179" i="29"/>
  <c r="AD171" i="29"/>
  <c r="AD173" i="29"/>
  <c r="AD177" i="29"/>
  <c r="AD175" i="29"/>
  <c r="AD169" i="29"/>
  <c r="AK438" i="29"/>
  <c r="AH529" i="29"/>
  <c r="AK529" i="29" s="1"/>
  <c r="AC420" i="29"/>
  <c r="AB521" i="29"/>
  <c r="AF21" i="29"/>
  <c r="AF499" i="29" s="1"/>
  <c r="AF513" i="29"/>
  <c r="AC427" i="29"/>
  <c r="AC538" i="29" s="1"/>
  <c r="AC417" i="29"/>
  <c r="AC418" i="29"/>
  <c r="AG448" i="29"/>
  <c r="AC416" i="29"/>
  <c r="AD415" i="29"/>
  <c r="AC421" i="29"/>
  <c r="AH227" i="29"/>
  <c r="AH447" i="29" s="1"/>
  <c r="AH446" i="29"/>
  <c r="AK446" i="29" s="1"/>
  <c r="AC423" i="29"/>
  <c r="AC424" i="29"/>
  <c r="AC535" i="29" s="1"/>
  <c r="AC426" i="29"/>
  <c r="AC537" i="29" s="1"/>
  <c r="AK286" i="29"/>
  <c r="AK457" i="29"/>
  <c r="AK462" i="29" s="1"/>
  <c r="AC425" i="29"/>
  <c r="AC536" i="29" s="1"/>
  <c r="AC419" i="29"/>
  <c r="AF549" i="29"/>
  <c r="AF563" i="29" s="1"/>
  <c r="AF389" i="29"/>
  <c r="AG31" i="29"/>
  <c r="AF138" i="29"/>
  <c r="AC181" i="29"/>
  <c r="AI75" i="14"/>
  <c r="AH229" i="14"/>
  <c r="AA560" i="29"/>
  <c r="AD559" i="29"/>
  <c r="AE545" i="29"/>
  <c r="AB546" i="29"/>
  <c r="AE547" i="29"/>
  <c r="M87" i="14"/>
  <c r="M102" i="14" s="1"/>
  <c r="M103" i="14" s="1"/>
  <c r="AK52" i="29"/>
  <c r="AK53" i="29"/>
  <c r="N96" i="14"/>
  <c r="L117" i="14"/>
  <c r="L111" i="14" s="1"/>
  <c r="L105" i="14"/>
  <c r="L107" i="14" s="1"/>
  <c r="M106" i="14" s="1"/>
  <c r="AG42" i="14"/>
  <c r="AG72" i="14" s="1"/>
  <c r="AE124" i="14"/>
  <c r="AE119" i="14" s="1"/>
  <c r="AH378" i="29"/>
  <c r="AH466" i="29" s="1"/>
  <c r="AE81" i="14"/>
  <c r="AE85" i="14" s="1"/>
  <c r="AF86" i="14" s="1"/>
  <c r="AG156" i="14"/>
  <c r="AF81" i="14"/>
  <c r="AK280" i="29"/>
  <c r="AK456" i="29" s="1"/>
  <c r="AK194" i="29"/>
  <c r="AK196" i="29"/>
  <c r="AK197" i="29"/>
  <c r="AK195" i="29"/>
  <c r="AK100" i="29"/>
  <c r="AK101" i="29"/>
  <c r="AK99" i="29"/>
  <c r="AK51" i="29"/>
  <c r="AK331" i="29"/>
  <c r="AK375" i="29"/>
  <c r="AK330" i="29"/>
  <c r="AK376" i="29"/>
  <c r="AK120" i="29"/>
  <c r="AK117" i="29"/>
  <c r="AK119" i="29"/>
  <c r="AK118" i="29"/>
  <c r="AK134" i="29"/>
  <c r="AK133" i="29"/>
  <c r="AK132" i="29"/>
  <c r="AK131" i="29"/>
  <c r="AK50" i="29"/>
  <c r="AK102" i="29"/>
  <c r="AK130" i="29"/>
  <c r="AK84" i="29"/>
  <c r="AK116" i="29"/>
  <c r="AK82" i="29"/>
  <c r="AK83" i="29"/>
  <c r="AK68" i="29"/>
  <c r="AK85" i="29"/>
  <c r="AK71" i="29"/>
  <c r="AK56" i="29"/>
  <c r="AK22" i="29"/>
  <c r="AK54" i="29"/>
  <c r="AK57" i="29"/>
  <c r="AK55" i="29"/>
  <c r="AG113" i="14"/>
  <c r="AG12" i="29"/>
  <c r="AH17" i="14"/>
  <c r="AH203" i="14" s="1"/>
  <c r="AG236" i="14" s="1"/>
  <c r="AI236" i="14" s="1"/>
  <c r="AH10" i="29"/>
  <c r="AG212" i="14"/>
  <c r="AH14" i="29"/>
  <c r="AH22" i="14"/>
  <c r="AH205" i="14" s="1"/>
  <c r="AG112" i="14"/>
  <c r="AG8" i="29"/>
  <c r="AG485" i="29" s="1"/>
  <c r="AK275" i="29"/>
  <c r="AK451" i="29" s="1"/>
  <c r="L543" i="29" l="1"/>
  <c r="L544" i="29" s="1"/>
  <c r="K250" i="14"/>
  <c r="AG389" i="29"/>
  <c r="AH119" i="14"/>
  <c r="AH156" i="14"/>
  <c r="AH530" i="29"/>
  <c r="AK530" i="29" s="1"/>
  <c r="AH532" i="29"/>
  <c r="AK532" i="29" s="1"/>
  <c r="AB430" i="29"/>
  <c r="AC428" i="29"/>
  <c r="AC182" i="29"/>
  <c r="AC429" i="29" s="1"/>
  <c r="AC517" i="29" s="1"/>
  <c r="AF42" i="29"/>
  <c r="AD425" i="29"/>
  <c r="AD536" i="29" s="1"/>
  <c r="AD426" i="29"/>
  <c r="AD537" i="29" s="1"/>
  <c r="AE561" i="29"/>
  <c r="AG514" i="29"/>
  <c r="AG486" i="29"/>
  <c r="AG484" i="29" s="1"/>
  <c r="AE176" i="29"/>
  <c r="AE170" i="29"/>
  <c r="AE174" i="29"/>
  <c r="AE178" i="29"/>
  <c r="AE172" i="29"/>
  <c r="AE179" i="29"/>
  <c r="AE175" i="29"/>
  <c r="AE173" i="29"/>
  <c r="AE171" i="29"/>
  <c r="AE177" i="29"/>
  <c r="AE169" i="29"/>
  <c r="AE180" i="29"/>
  <c r="AG414" i="29"/>
  <c r="AG516" i="29" s="1"/>
  <c r="AG490" i="29"/>
  <c r="AC521" i="29"/>
  <c r="AD526" i="29"/>
  <c r="AF154" i="29"/>
  <c r="AF140" i="29"/>
  <c r="AF168" i="29"/>
  <c r="AH506" i="29"/>
  <c r="AK506" i="29" s="1"/>
  <c r="AK505" i="29"/>
  <c r="AE144" i="29"/>
  <c r="AE148" i="29"/>
  <c r="AE145" i="29"/>
  <c r="AE147" i="29"/>
  <c r="AE150" i="29"/>
  <c r="AE141" i="29"/>
  <c r="AE151" i="29"/>
  <c r="AE142" i="29"/>
  <c r="AE149" i="29"/>
  <c r="AE146" i="29"/>
  <c r="AE143" i="29"/>
  <c r="AE152" i="29"/>
  <c r="AE165" i="29"/>
  <c r="AE161" i="29"/>
  <c r="AE160" i="29"/>
  <c r="AE162" i="29"/>
  <c r="AE164" i="29"/>
  <c r="AE155" i="29"/>
  <c r="AE166" i="29"/>
  <c r="AE158" i="29"/>
  <c r="AE159" i="29"/>
  <c r="AE157" i="29"/>
  <c r="AE163" i="29"/>
  <c r="AE156" i="29"/>
  <c r="L534" i="29"/>
  <c r="L497" i="29"/>
  <c r="AD417" i="29"/>
  <c r="AG21" i="29"/>
  <c r="AG499" i="29" s="1"/>
  <c r="AG513" i="29"/>
  <c r="L519" i="29"/>
  <c r="AD424" i="29"/>
  <c r="AD535" i="29" s="1"/>
  <c r="AD420" i="29"/>
  <c r="AF390" i="29"/>
  <c r="AF477" i="29" s="1"/>
  <c r="AF479" i="29" s="1"/>
  <c r="AF478" i="29"/>
  <c r="AH448" i="29"/>
  <c r="AK447" i="29"/>
  <c r="AK448" i="29" s="1"/>
  <c r="AD416" i="29"/>
  <c r="AD423" i="29"/>
  <c r="AK461" i="29"/>
  <c r="AK463" i="29" s="1"/>
  <c r="AK466" i="29"/>
  <c r="AE415" i="29"/>
  <c r="AD419" i="29"/>
  <c r="AD422" i="29"/>
  <c r="AD421" i="29"/>
  <c r="AD427" i="29"/>
  <c r="AD538" i="29" s="1"/>
  <c r="AD418" i="29"/>
  <c r="AG390" i="29"/>
  <c r="AG477" i="29" s="1"/>
  <c r="AG479" i="29" s="1"/>
  <c r="AG478" i="29"/>
  <c r="AK285" i="29"/>
  <c r="AD181" i="29"/>
  <c r="AH31" i="29"/>
  <c r="AH490" i="29" s="1"/>
  <c r="AG138" i="29"/>
  <c r="AK226" i="29"/>
  <c r="AK227" i="29" s="1"/>
  <c r="AG231" i="14"/>
  <c r="AE559" i="29"/>
  <c r="AG563" i="29"/>
  <c r="AB560" i="29"/>
  <c r="AF545" i="29"/>
  <c r="AC546" i="29"/>
  <c r="M88" i="14"/>
  <c r="N89" i="14" s="1"/>
  <c r="AH380" i="29"/>
  <c r="AH468" i="29" s="1"/>
  <c r="AK468" i="29" s="1"/>
  <c r="AH386" i="29"/>
  <c r="AH474" i="29" s="1"/>
  <c r="AK474" i="29" s="1"/>
  <c r="AH387" i="29"/>
  <c r="AH475" i="29" s="1"/>
  <c r="AK475" i="29" s="1"/>
  <c r="AH388" i="29"/>
  <c r="AH476" i="29" s="1"/>
  <c r="AK476" i="29" s="1"/>
  <c r="AH385" i="29"/>
  <c r="AH473" i="29" s="1"/>
  <c r="AK473" i="29" s="1"/>
  <c r="AF547" i="29"/>
  <c r="N101" i="14"/>
  <c r="L126" i="14"/>
  <c r="L128" i="14" s="1"/>
  <c r="M127" i="14" s="1"/>
  <c r="L138" i="14"/>
  <c r="L139" i="14" s="1"/>
  <c r="M104" i="14"/>
  <c r="N97" i="14"/>
  <c r="N93" i="14"/>
  <c r="L23" i="29"/>
  <c r="AH42" i="14"/>
  <c r="AH72" i="14" s="1"/>
  <c r="AH384" i="29"/>
  <c r="AH472" i="29" s="1"/>
  <c r="AK472" i="29" s="1"/>
  <c r="AH381" i="29"/>
  <c r="AH469" i="29" s="1"/>
  <c r="AK469" i="29" s="1"/>
  <c r="AH379" i="29"/>
  <c r="AH467" i="29" s="1"/>
  <c r="AH383" i="29"/>
  <c r="AH382" i="29"/>
  <c r="AH470" i="29" s="1"/>
  <c r="AK470" i="29" s="1"/>
  <c r="AK378" i="29"/>
  <c r="AF124" i="14"/>
  <c r="AF119" i="14" s="1"/>
  <c r="AF231" i="14"/>
  <c r="AE84" i="14"/>
  <c r="AF84" i="14"/>
  <c r="AF85" i="14"/>
  <c r="AG86" i="14" s="1"/>
  <c r="AK104" i="29"/>
  <c r="AK105" i="29"/>
  <c r="AK106" i="29"/>
  <c r="AK61" i="29"/>
  <c r="AK60" i="29"/>
  <c r="AK59" i="29"/>
  <c r="AK58" i="29"/>
  <c r="AK103" i="29"/>
  <c r="AK89" i="29"/>
  <c r="AK74" i="29"/>
  <c r="AK87" i="29"/>
  <c r="AK88" i="29"/>
  <c r="AK86" i="29"/>
  <c r="AK72" i="29"/>
  <c r="AK73" i="29"/>
  <c r="AK75" i="29"/>
  <c r="AK10" i="29"/>
  <c r="AK14" i="29"/>
  <c r="AH212" i="14"/>
  <c r="AH8" i="29"/>
  <c r="AH112" i="14"/>
  <c r="AI17" i="14"/>
  <c r="AH12" i="29"/>
  <c r="AH113" i="14"/>
  <c r="AI22" i="14"/>
  <c r="AK490" i="29" l="1"/>
  <c r="AD428" i="29"/>
  <c r="AD182" i="29"/>
  <c r="AD429" i="29" s="1"/>
  <c r="AD517" i="29" s="1"/>
  <c r="AC430" i="29"/>
  <c r="AG42" i="29"/>
  <c r="AE416" i="29"/>
  <c r="AD521" i="29"/>
  <c r="AE427" i="29"/>
  <c r="AE538" i="29" s="1"/>
  <c r="AE417" i="29"/>
  <c r="AF561" i="29"/>
  <c r="AE421" i="29"/>
  <c r="AG140" i="29"/>
  <c r="AG154" i="29"/>
  <c r="AG168" i="29"/>
  <c r="AF178" i="29"/>
  <c r="AF169" i="29"/>
  <c r="AF179" i="29"/>
  <c r="AF177" i="29"/>
  <c r="AF171" i="29"/>
  <c r="AF170" i="29"/>
  <c r="AF175" i="29"/>
  <c r="AF173" i="29"/>
  <c r="AF176" i="29"/>
  <c r="AF180" i="29"/>
  <c r="AF172" i="29"/>
  <c r="AF174" i="29"/>
  <c r="AF150" i="29"/>
  <c r="AF143" i="29"/>
  <c r="AF142" i="29"/>
  <c r="AF141" i="29"/>
  <c r="AF151" i="29"/>
  <c r="AF152" i="29"/>
  <c r="AF147" i="29"/>
  <c r="AF422" i="29" s="1"/>
  <c r="AF144" i="29"/>
  <c r="AF148" i="29"/>
  <c r="AF149" i="29"/>
  <c r="AF146" i="29"/>
  <c r="AF145" i="29"/>
  <c r="AF162" i="29"/>
  <c r="AF166" i="29"/>
  <c r="AF159" i="29"/>
  <c r="AF156" i="29"/>
  <c r="AF158" i="29"/>
  <c r="AF165" i="29"/>
  <c r="AF161" i="29"/>
  <c r="AF164" i="29"/>
  <c r="AF157" i="29"/>
  <c r="AF163" i="29"/>
  <c r="AF155" i="29"/>
  <c r="AF160" i="29"/>
  <c r="AH514" i="29"/>
  <c r="AK514" i="29" s="1"/>
  <c r="AH486" i="29"/>
  <c r="AK486" i="29" s="1"/>
  <c r="AK467" i="29"/>
  <c r="AH539" i="29"/>
  <c r="AK539" i="29" s="1"/>
  <c r="AE526" i="29"/>
  <c r="AH513" i="29"/>
  <c r="AK513" i="29" s="1"/>
  <c r="AH485" i="29"/>
  <c r="L488" i="29"/>
  <c r="L501" i="29" s="1"/>
  <c r="L507" i="29" s="1"/>
  <c r="L533" i="29"/>
  <c r="L548" i="29" s="1"/>
  <c r="L562" i="29" s="1"/>
  <c r="AE425" i="29"/>
  <c r="AE536" i="29" s="1"/>
  <c r="AE422" i="29"/>
  <c r="AF415" i="29"/>
  <c r="AE418" i="29"/>
  <c r="AE424" i="29"/>
  <c r="AE535" i="29" s="1"/>
  <c r="AE426" i="29"/>
  <c r="AE537" i="29" s="1"/>
  <c r="AK383" i="29"/>
  <c r="AH471" i="29"/>
  <c r="AK471" i="29" s="1"/>
  <c r="AE420" i="29"/>
  <c r="AE423" i="29"/>
  <c r="AH138" i="29"/>
  <c r="AH414" i="29"/>
  <c r="AH516" i="29" s="1"/>
  <c r="AE419" i="29"/>
  <c r="AH389" i="29"/>
  <c r="AH21" i="29"/>
  <c r="AE181" i="29"/>
  <c r="AK31" i="29"/>
  <c r="AK414" i="29" s="1"/>
  <c r="AG81" i="14"/>
  <c r="AG85" i="14" s="1"/>
  <c r="AH86" i="14" s="1"/>
  <c r="AG124" i="14"/>
  <c r="AG119" i="14" s="1"/>
  <c r="AF559" i="29"/>
  <c r="AC560" i="29"/>
  <c r="AK380" i="29"/>
  <c r="AD546" i="29"/>
  <c r="AG545" i="29"/>
  <c r="AK381" i="29"/>
  <c r="AK382" i="29"/>
  <c r="AG547" i="29"/>
  <c r="O98" i="14"/>
  <c r="O99" i="14" s="1"/>
  <c r="M83" i="14"/>
  <c r="M228" i="14" s="1"/>
  <c r="M17" i="29"/>
  <c r="N94" i="14"/>
  <c r="N90" i="14"/>
  <c r="M140" i="14"/>
  <c r="L141" i="14"/>
  <c r="L142" i="14" s="1"/>
  <c r="AH81" i="14"/>
  <c r="AH85" i="14" s="1"/>
  <c r="AK379" i="29"/>
  <c r="AK384" i="29"/>
  <c r="AK386" i="29"/>
  <c r="AK135" i="29"/>
  <c r="AK91" i="29"/>
  <c r="AK136" i="29"/>
  <c r="AK90" i="29"/>
  <c r="AK8" i="29"/>
  <c r="AK12" i="29"/>
  <c r="Q155" i="14"/>
  <c r="Q157" i="14" s="1"/>
  <c r="AI42" i="14"/>
  <c r="M232" i="14" l="1"/>
  <c r="L247" i="14"/>
  <c r="L249" i="14" s="1"/>
  <c r="AF424" i="29"/>
  <c r="AF535" i="29" s="1"/>
  <c r="AE521" i="29"/>
  <c r="AD430" i="29"/>
  <c r="AE428" i="29"/>
  <c r="AE182" i="29"/>
  <c r="AE429" i="29" s="1"/>
  <c r="AE517" i="29" s="1"/>
  <c r="AF526" i="29"/>
  <c r="AF421" i="29"/>
  <c r="AF417" i="29"/>
  <c r="AF416" i="29"/>
  <c r="AF425" i="29"/>
  <c r="AF536" i="29" s="1"/>
  <c r="AH484" i="29"/>
  <c r="AK484" i="29" s="1"/>
  <c r="AG561" i="29"/>
  <c r="M19" i="29"/>
  <c r="M18" i="29"/>
  <c r="M496" i="29" s="1"/>
  <c r="M20" i="29"/>
  <c r="M498" i="29" s="1"/>
  <c r="AF420" i="29"/>
  <c r="AK485" i="29"/>
  <c r="AH168" i="29"/>
  <c r="AH140" i="29"/>
  <c r="AH154" i="29"/>
  <c r="AG177" i="29"/>
  <c r="AG174" i="29"/>
  <c r="AG171" i="29"/>
  <c r="AG175" i="29"/>
  <c r="AG169" i="29"/>
  <c r="AG176" i="29"/>
  <c r="AG180" i="29"/>
  <c r="AG179" i="29"/>
  <c r="AG173" i="29"/>
  <c r="AG170" i="29"/>
  <c r="AG178" i="29"/>
  <c r="AG172" i="29"/>
  <c r="AG162" i="29"/>
  <c r="AG155" i="29"/>
  <c r="AG164" i="29"/>
  <c r="AG160" i="29"/>
  <c r="AG166" i="29"/>
  <c r="AG156" i="29"/>
  <c r="AG158" i="29"/>
  <c r="AG163" i="29"/>
  <c r="AG157" i="29"/>
  <c r="AG159" i="29"/>
  <c r="AG161" i="29"/>
  <c r="AG165" i="29"/>
  <c r="AK21" i="29"/>
  <c r="AH499" i="29"/>
  <c r="AK499" i="29" s="1"/>
  <c r="AG147" i="29"/>
  <c r="AG145" i="29"/>
  <c r="AG149" i="29"/>
  <c r="AG150" i="29"/>
  <c r="AG146" i="29"/>
  <c r="AG144" i="29"/>
  <c r="AG141" i="29"/>
  <c r="AG152" i="29"/>
  <c r="AG143" i="29"/>
  <c r="AG151" i="29"/>
  <c r="AG142" i="29"/>
  <c r="AG148" i="29"/>
  <c r="L520" i="29"/>
  <c r="L522" i="29" s="1"/>
  <c r="L528" i="29"/>
  <c r="AF419" i="29"/>
  <c r="AF423" i="29"/>
  <c r="AF427" i="29"/>
  <c r="AF538" i="29" s="1"/>
  <c r="AF426" i="29"/>
  <c r="AF537" i="29" s="1"/>
  <c r="AF418" i="29"/>
  <c r="AH390" i="29"/>
  <c r="AH477" i="29" s="1"/>
  <c r="AH478" i="29"/>
  <c r="AK478" i="29" s="1"/>
  <c r="AG415" i="29"/>
  <c r="AH42" i="29"/>
  <c r="AK42" i="29" s="1"/>
  <c r="AF181" i="29"/>
  <c r="AG84" i="14"/>
  <c r="AG559" i="29"/>
  <c r="AD560" i="29"/>
  <c r="AH549" i="29"/>
  <c r="AE546" i="29"/>
  <c r="AK138" i="29"/>
  <c r="AH547" i="29"/>
  <c r="AK547" i="29" s="1"/>
  <c r="AH84" i="14"/>
  <c r="AI81" i="14"/>
  <c r="O95" i="14"/>
  <c r="M105" i="14"/>
  <c r="M107" i="14" s="1"/>
  <c r="N106" i="14" s="1"/>
  <c r="M117" i="14"/>
  <c r="M111" i="14" s="1"/>
  <c r="N87" i="14"/>
  <c r="N91" i="14"/>
  <c r="O92" i="14" s="1"/>
  <c r="O100" i="14"/>
  <c r="AK388" i="29"/>
  <c r="AK385" i="29"/>
  <c r="AK387" i="29"/>
  <c r="M543" i="29" l="1"/>
  <c r="M544" i="29" s="1"/>
  <c r="L250" i="14"/>
  <c r="AF521" i="29"/>
  <c r="AF428" i="29"/>
  <c r="AF182" i="29"/>
  <c r="AF429" i="29" s="1"/>
  <c r="AF517" i="29" s="1"/>
  <c r="AE430" i="29"/>
  <c r="AH166" i="29"/>
  <c r="AH163" i="29"/>
  <c r="AH165" i="29"/>
  <c r="AK165" i="29" s="1"/>
  <c r="AH155" i="29"/>
  <c r="AK155" i="29" s="1"/>
  <c r="AH164" i="29"/>
  <c r="AK164" i="29" s="1"/>
  <c r="AH157" i="29"/>
  <c r="AK157" i="29" s="1"/>
  <c r="AH158" i="29"/>
  <c r="AH159" i="29"/>
  <c r="AK159" i="29" s="1"/>
  <c r="AH162" i="29"/>
  <c r="AK162" i="29" s="1"/>
  <c r="AH161" i="29"/>
  <c r="AH156" i="29"/>
  <c r="AH160" i="29"/>
  <c r="AK160" i="29" s="1"/>
  <c r="AH143" i="29"/>
  <c r="AH141" i="29"/>
  <c r="AH151" i="29"/>
  <c r="AH152" i="29"/>
  <c r="AH149" i="29"/>
  <c r="AH150" i="29"/>
  <c r="AH144" i="29"/>
  <c r="AH142" i="29"/>
  <c r="AH146" i="29"/>
  <c r="AH148" i="29"/>
  <c r="AK148" i="29" s="1"/>
  <c r="AH145" i="29"/>
  <c r="AH147" i="29"/>
  <c r="AH172" i="29"/>
  <c r="AK172" i="29" s="1"/>
  <c r="AH173" i="29"/>
  <c r="AH169" i="29"/>
  <c r="AH179" i="29"/>
  <c r="AK179" i="29" s="1"/>
  <c r="AH178" i="29"/>
  <c r="AK178" i="29" s="1"/>
  <c r="AH171" i="29"/>
  <c r="AK171" i="29" s="1"/>
  <c r="AH176" i="29"/>
  <c r="AK176" i="29" s="1"/>
  <c r="AH174" i="29"/>
  <c r="AK174" i="29" s="1"/>
  <c r="AH180" i="29"/>
  <c r="AK180" i="29" s="1"/>
  <c r="AH170" i="29"/>
  <c r="AH177" i="29"/>
  <c r="AH175" i="29"/>
  <c r="AK175" i="29" s="1"/>
  <c r="AG526" i="29"/>
  <c r="M534" i="29"/>
  <c r="M497" i="29"/>
  <c r="M488" i="29" s="1"/>
  <c r="M501" i="29" s="1"/>
  <c r="M507" i="29" s="1"/>
  <c r="AG418" i="29"/>
  <c r="AG416" i="29"/>
  <c r="M519" i="29"/>
  <c r="AG419" i="29"/>
  <c r="AG425" i="29"/>
  <c r="AG536" i="29" s="1"/>
  <c r="AG417" i="29"/>
  <c r="AG424" i="29"/>
  <c r="AG535" i="29" s="1"/>
  <c r="AG423" i="29"/>
  <c r="AG421" i="29"/>
  <c r="AK477" i="29"/>
  <c r="AH479" i="29"/>
  <c r="AK479" i="29" s="1"/>
  <c r="AG420" i="29"/>
  <c r="AG422" i="29"/>
  <c r="AH415" i="29"/>
  <c r="AG427" i="29"/>
  <c r="AG538" i="29" s="1"/>
  <c r="AG426" i="29"/>
  <c r="AK389" i="29"/>
  <c r="AK390" i="29" s="1"/>
  <c r="AG181" i="29"/>
  <c r="AK154" i="29"/>
  <c r="AK140" i="29"/>
  <c r="AK170" i="29"/>
  <c r="AE560" i="29"/>
  <c r="AK549" i="29"/>
  <c r="AH563" i="29"/>
  <c r="AK563" i="29" s="1"/>
  <c r="AH561" i="29"/>
  <c r="AK561" i="29" s="1"/>
  <c r="L540" i="29"/>
  <c r="L558" i="29"/>
  <c r="AH545" i="29"/>
  <c r="AH559" i="29" s="1"/>
  <c r="AK559" i="29" s="1"/>
  <c r="AF546" i="29"/>
  <c r="AK161" i="29"/>
  <c r="AK163" i="29"/>
  <c r="AK156" i="29"/>
  <c r="AK166" i="29"/>
  <c r="AK177" i="29"/>
  <c r="AK173" i="29"/>
  <c r="AK168" i="29"/>
  <c r="M23" i="29"/>
  <c r="M126" i="14"/>
  <c r="M128" i="14" s="1"/>
  <c r="N127" i="14" s="1"/>
  <c r="M138" i="14"/>
  <c r="M139" i="14" s="1"/>
  <c r="N102" i="14"/>
  <c r="N88" i="14"/>
  <c r="O89" i="14" s="1"/>
  <c r="O96" i="14"/>
  <c r="O97" i="14" s="1"/>
  <c r="R155" i="14"/>
  <c r="R157" i="14" s="1"/>
  <c r="AH427" i="29" l="1"/>
  <c r="AH538" i="29" s="1"/>
  <c r="AK538" i="29" s="1"/>
  <c r="AH424" i="29"/>
  <c r="AH535" i="29" s="1"/>
  <c r="AK535" i="29" s="1"/>
  <c r="AH417" i="29"/>
  <c r="AH418" i="29"/>
  <c r="AK418" i="29" s="1"/>
  <c r="AG428" i="29"/>
  <c r="AG182" i="29"/>
  <c r="AG429" i="29" s="1"/>
  <c r="AF430" i="29"/>
  <c r="AH419" i="29"/>
  <c r="AK419" i="29" s="1"/>
  <c r="AH416" i="29"/>
  <c r="AH521" i="29" s="1"/>
  <c r="AK169" i="29"/>
  <c r="AH526" i="29"/>
  <c r="AK526" i="29" s="1"/>
  <c r="AH425" i="29"/>
  <c r="AH536" i="29" s="1"/>
  <c r="AK536" i="29" s="1"/>
  <c r="AK158" i="29"/>
  <c r="AH422" i="29"/>
  <c r="AK422" i="29" s="1"/>
  <c r="AH426" i="29"/>
  <c r="AH537" i="29" s="1"/>
  <c r="AK145" i="29"/>
  <c r="AK151" i="29"/>
  <c r="AH420" i="29"/>
  <c r="AK420" i="29" s="1"/>
  <c r="AH421" i="29"/>
  <c r="AK421" i="29" s="1"/>
  <c r="M533" i="29"/>
  <c r="M548" i="29" s="1"/>
  <c r="M562" i="29" s="1"/>
  <c r="AH423" i="29"/>
  <c r="AK423" i="29" s="1"/>
  <c r="AH181" i="29"/>
  <c r="AG537" i="29"/>
  <c r="AG521" i="29"/>
  <c r="AK415" i="29"/>
  <c r="AK417" i="29"/>
  <c r="AK516" i="29"/>
  <c r="AK427" i="29"/>
  <c r="AK424" i="29"/>
  <c r="AF560" i="29"/>
  <c r="AG546" i="29"/>
  <c r="AK150" i="29"/>
  <c r="AK144" i="29"/>
  <c r="AK147" i="29"/>
  <c r="AK141" i="29"/>
  <c r="AK143" i="29"/>
  <c r="AK142" i="29"/>
  <c r="AK149" i="29"/>
  <c r="AK146" i="29"/>
  <c r="AK152" i="29"/>
  <c r="P98" i="14"/>
  <c r="P99" i="14" s="1"/>
  <c r="O93" i="14"/>
  <c r="O90" i="14" s="1"/>
  <c r="N140" i="14"/>
  <c r="M141" i="14"/>
  <c r="M142" i="14" s="1"/>
  <c r="N104" i="14"/>
  <c r="N83" i="14" s="1"/>
  <c r="N103" i="14"/>
  <c r="S155" i="14"/>
  <c r="S157" i="14" s="1"/>
  <c r="AK416" i="29" l="1"/>
  <c r="AH428" i="29"/>
  <c r="AK428" i="29" s="1"/>
  <c r="AH182" i="29"/>
  <c r="AH429" i="29" s="1"/>
  <c r="AH517" i="29" s="1"/>
  <c r="AG517" i="29"/>
  <c r="AG430" i="29"/>
  <c r="AK425" i="29"/>
  <c r="AK537" i="29"/>
  <c r="AK426" i="29"/>
  <c r="AK521" i="29"/>
  <c r="M520" i="29"/>
  <c r="M522" i="29" s="1"/>
  <c r="M528" i="29"/>
  <c r="AK181" i="29"/>
  <c r="AK182" i="29" s="1"/>
  <c r="N117" i="14"/>
  <c r="N228" i="14"/>
  <c r="AG560" i="29"/>
  <c r="C197" i="52"/>
  <c r="O87" i="14"/>
  <c r="O91" i="14"/>
  <c r="P92" i="14" s="1"/>
  <c r="N17" i="29"/>
  <c r="O94" i="14"/>
  <c r="O101" i="14"/>
  <c r="P100" i="14"/>
  <c r="N232" i="14" l="1"/>
  <c r="M247" i="14"/>
  <c r="M249" i="14" s="1"/>
  <c r="AH430" i="29"/>
  <c r="AK429" i="29"/>
  <c r="AK517" i="29" s="1"/>
  <c r="N20" i="29"/>
  <c r="N498" i="29" s="1"/>
  <c r="AI498" i="29" s="1"/>
  <c r="N18" i="29"/>
  <c r="N19" i="29"/>
  <c r="N497" i="29" s="1"/>
  <c r="AI497" i="29" s="1"/>
  <c r="M540" i="29"/>
  <c r="M558" i="29"/>
  <c r="AH546" i="29"/>
  <c r="P95" i="14"/>
  <c r="N111" i="14"/>
  <c r="N105" i="14"/>
  <c r="N107" i="14" s="1"/>
  <c r="O106" i="14" s="1"/>
  <c r="AI17" i="29"/>
  <c r="O102" i="14"/>
  <c r="O103" i="14" s="1"/>
  <c r="O88" i="14"/>
  <c r="P89" i="14" s="1"/>
  <c r="C209" i="52"/>
  <c r="E551" i="29" s="1"/>
  <c r="E552" i="29" s="1"/>
  <c r="N543" i="29" l="1"/>
  <c r="N544" i="29" s="1"/>
  <c r="M250" i="14"/>
  <c r="AK430" i="29"/>
  <c r="AI18" i="29"/>
  <c r="AI20" i="29"/>
  <c r="AI19" i="29"/>
  <c r="N496" i="29"/>
  <c r="N488" i="29" s="1"/>
  <c r="N501" i="29" s="1"/>
  <c r="AK546" i="29"/>
  <c r="AH560" i="29"/>
  <c r="AK560" i="29" s="1"/>
  <c r="M551" i="29"/>
  <c r="M552" i="29" s="1"/>
  <c r="U551" i="29"/>
  <c r="AC551" i="29"/>
  <c r="X551" i="29"/>
  <c r="Z551" i="29"/>
  <c r="L551" i="29"/>
  <c r="L552" i="29" s="1"/>
  <c r="F551" i="29"/>
  <c r="F552" i="29" s="1"/>
  <c r="N551" i="29"/>
  <c r="V551" i="29"/>
  <c r="AD551" i="29"/>
  <c r="P551" i="29"/>
  <c r="AB551" i="29"/>
  <c r="G551" i="29"/>
  <c r="G552" i="29" s="1"/>
  <c r="O551" i="29"/>
  <c r="W551" i="29"/>
  <c r="AE551" i="29"/>
  <c r="H551" i="29"/>
  <c r="H552" i="29" s="1"/>
  <c r="AF551" i="29"/>
  <c r="J551" i="29"/>
  <c r="J552" i="29" s="1"/>
  <c r="AH551" i="29"/>
  <c r="T551" i="29"/>
  <c r="I551" i="29"/>
  <c r="I552" i="29" s="1"/>
  <c r="Q551" i="29"/>
  <c r="Y551" i="29"/>
  <c r="AG551" i="29"/>
  <c r="R551" i="29"/>
  <c r="K551" i="29"/>
  <c r="K552" i="29" s="1"/>
  <c r="S551" i="29"/>
  <c r="AA551" i="29"/>
  <c r="E565" i="29"/>
  <c r="N23" i="29"/>
  <c r="AI23" i="29" s="1"/>
  <c r="P101" i="14"/>
  <c r="N533" i="29"/>
  <c r="AI533" i="29" s="1"/>
  <c r="N138" i="14"/>
  <c r="N139" i="14" s="1"/>
  <c r="N126" i="14"/>
  <c r="N128" i="14" s="1"/>
  <c r="O127" i="14" s="1"/>
  <c r="O104" i="14"/>
  <c r="N534" i="29"/>
  <c r="P96" i="14"/>
  <c r="T155" i="14"/>
  <c r="T157" i="14" s="1"/>
  <c r="AI496" i="29" l="1"/>
  <c r="AI488" i="29" s="1"/>
  <c r="N507" i="29"/>
  <c r="AI507" i="29" s="1"/>
  <c r="AI501" i="29"/>
  <c r="N519" i="29"/>
  <c r="F565" i="29"/>
  <c r="E566" i="29"/>
  <c r="AI551" i="29"/>
  <c r="AK551" i="29"/>
  <c r="AJ551" i="29"/>
  <c r="P97" i="14"/>
  <c r="P93" i="14"/>
  <c r="O140" i="14"/>
  <c r="N141" i="14"/>
  <c r="N142" i="14" s="1"/>
  <c r="AI534" i="29"/>
  <c r="O83" i="14"/>
  <c r="O228" i="14" s="1"/>
  <c r="O17" i="29"/>
  <c r="O232" i="14" l="1"/>
  <c r="N247" i="14"/>
  <c r="N249" i="14" s="1"/>
  <c r="O20" i="29"/>
  <c r="O498" i="29" s="1"/>
  <c r="O19" i="29"/>
  <c r="O18" i="29"/>
  <c r="O496" i="29" s="1"/>
  <c r="AI519" i="29"/>
  <c r="G565" i="29"/>
  <c r="F566" i="29"/>
  <c r="E553" i="29"/>
  <c r="N548" i="29"/>
  <c r="N562" i="29" s="1"/>
  <c r="C199" i="52"/>
  <c r="O117" i="14"/>
  <c r="O111" i="14" s="1"/>
  <c r="O105" i="14"/>
  <c r="O107" i="14" s="1"/>
  <c r="P106" i="14" s="1"/>
  <c r="P94" i="14"/>
  <c r="P90" i="14"/>
  <c r="Q98" i="14"/>
  <c r="Q99" i="14" s="1"/>
  <c r="O543" i="29" l="1"/>
  <c r="O544" i="29" s="1"/>
  <c r="N250" i="14"/>
  <c r="O534" i="29"/>
  <c r="O497" i="29"/>
  <c r="O488" i="29" s="1"/>
  <c r="O501" i="29" s="1"/>
  <c r="O507" i="29" s="1"/>
  <c r="O533" i="29"/>
  <c r="O519" i="29"/>
  <c r="C200" i="52"/>
  <c r="C201" i="52" s="1"/>
  <c r="H565" i="29"/>
  <c r="G566" i="29"/>
  <c r="AI562" i="29"/>
  <c r="F553" i="29"/>
  <c r="E555" i="29"/>
  <c r="AI548" i="29"/>
  <c r="O23" i="29"/>
  <c r="Q95" i="14"/>
  <c r="P87" i="14"/>
  <c r="P91" i="14"/>
  <c r="Q92" i="14" s="1"/>
  <c r="Q100" i="14"/>
  <c r="O126" i="14"/>
  <c r="O128" i="14" s="1"/>
  <c r="P127" i="14" s="1"/>
  <c r="O138" i="14"/>
  <c r="O139" i="14" s="1"/>
  <c r="O548" i="29" l="1"/>
  <c r="O562" i="29" s="1"/>
  <c r="O520" i="29"/>
  <c r="O522" i="29" s="1"/>
  <c r="O528" i="29"/>
  <c r="N520" i="29"/>
  <c r="AI520" i="29" s="1"/>
  <c r="AI522" i="29" s="1"/>
  <c r="N528" i="29"/>
  <c r="AI528" i="29" s="1"/>
  <c r="I565" i="29"/>
  <c r="H566" i="29"/>
  <c r="N552" i="29"/>
  <c r="G553" i="29"/>
  <c r="F555" i="29"/>
  <c r="O141" i="14"/>
  <c r="O142" i="14" s="1"/>
  <c r="P140" i="14"/>
  <c r="P88" i="14"/>
  <c r="Q89" i="14" s="1"/>
  <c r="P102" i="14"/>
  <c r="AI508" i="29"/>
  <c r="Q96" i="14"/>
  <c r="U155" i="14"/>
  <c r="U157" i="14" s="1"/>
  <c r="N522" i="29" l="1"/>
  <c r="O552" i="29"/>
  <c r="AI543" i="29"/>
  <c r="J565" i="29"/>
  <c r="I566" i="29"/>
  <c r="O540" i="29"/>
  <c r="N540" i="29"/>
  <c r="H553" i="29"/>
  <c r="G555" i="29"/>
  <c r="AI545" i="29"/>
  <c r="Q97" i="14"/>
  <c r="Q93" i="14"/>
  <c r="P103" i="14"/>
  <c r="P104" i="14"/>
  <c r="AI544" i="29" l="1"/>
  <c r="N558" i="29"/>
  <c r="K565" i="29"/>
  <c r="J566" i="29"/>
  <c r="I553" i="29"/>
  <c r="H555" i="29"/>
  <c r="AI540" i="29"/>
  <c r="Q101" i="14"/>
  <c r="Q90" i="14"/>
  <c r="Q91" i="14" s="1"/>
  <c r="R92" i="14" s="1"/>
  <c r="Q94" i="14"/>
  <c r="P83" i="14"/>
  <c r="P228" i="14" s="1"/>
  <c r="P17" i="29"/>
  <c r="R98" i="14"/>
  <c r="P232" i="14" l="1"/>
  <c r="O247" i="14"/>
  <c r="O249" i="14" s="1"/>
  <c r="AI552" i="29"/>
  <c r="C189" i="52"/>
  <c r="P20" i="29"/>
  <c r="P498" i="29" s="1"/>
  <c r="P18" i="29"/>
  <c r="P496" i="29" s="1"/>
  <c r="P19" i="29"/>
  <c r="L565" i="29"/>
  <c r="K566" i="29"/>
  <c r="O558" i="29"/>
  <c r="AI558" i="29"/>
  <c r="J553" i="29"/>
  <c r="I555" i="29"/>
  <c r="Q87" i="14"/>
  <c r="Q88" i="14" s="1"/>
  <c r="R89" i="14" s="1"/>
  <c r="R95" i="14"/>
  <c r="R99" i="14"/>
  <c r="P117" i="14"/>
  <c r="P111" i="14" s="1"/>
  <c r="P105" i="14"/>
  <c r="P107" i="14" s="1"/>
  <c r="Q106" i="14" s="1"/>
  <c r="P543" i="29" l="1"/>
  <c r="P544" i="29" s="1"/>
  <c r="O250" i="14"/>
  <c r="P534" i="29"/>
  <c r="P497" i="29"/>
  <c r="P488" i="29" s="1"/>
  <c r="P501" i="29" s="1"/>
  <c r="P507" i="29" s="1"/>
  <c r="P519" i="29"/>
  <c r="M565" i="29"/>
  <c r="L566" i="29"/>
  <c r="K553" i="29"/>
  <c r="J555" i="29"/>
  <c r="Q102" i="14"/>
  <c r="Q104" i="14" s="1"/>
  <c r="P23" i="29"/>
  <c r="P155" i="14"/>
  <c r="P157" i="14" s="1"/>
  <c r="C158" i="14" s="1"/>
  <c r="P138" i="14"/>
  <c r="P139" i="14" s="1"/>
  <c r="P126" i="14"/>
  <c r="P128" i="14" s="1"/>
  <c r="Q127" i="14" s="1"/>
  <c r="R100" i="14"/>
  <c r="R96" i="14"/>
  <c r="P533" i="29" l="1"/>
  <c r="P548" i="29" s="1"/>
  <c r="P562" i="29" s="1"/>
  <c r="N565" i="29"/>
  <c r="AI565" i="29" s="1"/>
  <c r="AI566" i="29" s="1"/>
  <c r="M566" i="29"/>
  <c r="L553" i="29"/>
  <c r="K555" i="29"/>
  <c r="Q103" i="14"/>
  <c r="R101" i="14" s="1"/>
  <c r="Q83" i="14"/>
  <c r="Q228" i="14" s="1"/>
  <c r="Q17" i="29"/>
  <c r="R97" i="14"/>
  <c r="R93" i="14"/>
  <c r="R90" i="14" s="1"/>
  <c r="R91" i="14" s="1"/>
  <c r="S92" i="14" s="1"/>
  <c r="Q140" i="14"/>
  <c r="P141" i="14"/>
  <c r="P142" i="14" s="1"/>
  <c r="Q232" i="14" l="1"/>
  <c r="P247" i="14"/>
  <c r="P249" i="14" s="1"/>
  <c r="Q20" i="29"/>
  <c r="Q498" i="29" s="1"/>
  <c r="Q19" i="29"/>
  <c r="Q18" i="29"/>
  <c r="Q496" i="29" s="1"/>
  <c r="P552" i="29"/>
  <c r="P520" i="29"/>
  <c r="P522" i="29" s="1"/>
  <c r="P528" i="29"/>
  <c r="P540" i="29" s="1"/>
  <c r="O565" i="29"/>
  <c r="N566" i="29"/>
  <c r="M553" i="29"/>
  <c r="L555" i="29"/>
  <c r="R87" i="14"/>
  <c r="R102" i="14" s="1"/>
  <c r="R103" i="14" s="1"/>
  <c r="R94" i="14"/>
  <c r="S98" i="14"/>
  <c r="Q105" i="14"/>
  <c r="Q107" i="14" s="1"/>
  <c r="R106" i="14" s="1"/>
  <c r="Q117" i="14"/>
  <c r="Q111" i="14" s="1"/>
  <c r="W155" i="14"/>
  <c r="W157" i="14" s="1"/>
  <c r="Q543" i="29" l="1"/>
  <c r="Q544" i="29" s="1"/>
  <c r="P250" i="14"/>
  <c r="Q534" i="29"/>
  <c r="Q497" i="29"/>
  <c r="Q488" i="29" s="1"/>
  <c r="Q501" i="29" s="1"/>
  <c r="Q507" i="29" s="1"/>
  <c r="P558" i="29"/>
  <c r="Q533" i="29"/>
  <c r="Q519" i="29"/>
  <c r="P565" i="29"/>
  <c r="Q565" i="29" s="1"/>
  <c r="R565" i="29" s="1"/>
  <c r="S565" i="29" s="1"/>
  <c r="T565" i="29" s="1"/>
  <c r="U565" i="29" s="1"/>
  <c r="V565" i="29" s="1"/>
  <c r="W565" i="29" s="1"/>
  <c r="X565" i="29" s="1"/>
  <c r="O566" i="29"/>
  <c r="N553" i="29"/>
  <c r="M555" i="29"/>
  <c r="R88" i="14"/>
  <c r="S89" i="14" s="1"/>
  <c r="Q23" i="29"/>
  <c r="S95" i="14"/>
  <c r="S101" i="14"/>
  <c r="Q126" i="14"/>
  <c r="Q128" i="14" s="1"/>
  <c r="R127" i="14" s="1"/>
  <c r="Q138" i="14"/>
  <c r="Q139" i="14" s="1"/>
  <c r="S99" i="14"/>
  <c r="R104" i="14"/>
  <c r="Q520" i="29" l="1"/>
  <c r="Q522" i="29" s="1"/>
  <c r="Q528" i="29"/>
  <c r="Q548" i="29"/>
  <c r="Q562" i="29" s="1"/>
  <c r="Y565" i="29"/>
  <c r="Z565" i="29" s="1"/>
  <c r="AA565" i="29" s="1"/>
  <c r="AB565" i="29" s="1"/>
  <c r="AC565" i="29" s="1"/>
  <c r="AD565" i="29" s="1"/>
  <c r="AE565" i="29" s="1"/>
  <c r="AF565" i="29" s="1"/>
  <c r="AG565" i="29" s="1"/>
  <c r="AH565" i="29" s="1"/>
  <c r="AK565" i="29" s="1"/>
  <c r="AJ565" i="29"/>
  <c r="P566" i="29"/>
  <c r="O553" i="29"/>
  <c r="N555" i="29"/>
  <c r="R83" i="14"/>
  <c r="R228" i="14" s="1"/>
  <c r="R17" i="29"/>
  <c r="S100" i="14"/>
  <c r="R140" i="14"/>
  <c r="Q141" i="14"/>
  <c r="Q142" i="14" s="1"/>
  <c r="S96" i="14"/>
  <c r="X155" i="14"/>
  <c r="X157" i="14" s="1"/>
  <c r="R232" i="14" l="1"/>
  <c r="Q247" i="14"/>
  <c r="Q249" i="14" s="1"/>
  <c r="R19" i="29"/>
  <c r="R18" i="29"/>
  <c r="R496" i="29" s="1"/>
  <c r="R20" i="29"/>
  <c r="R498" i="29" s="1"/>
  <c r="Q552" i="29"/>
  <c r="Q540" i="29"/>
  <c r="P553" i="29"/>
  <c r="O555" i="29"/>
  <c r="S93" i="14"/>
  <c r="S97" i="14"/>
  <c r="R117" i="14"/>
  <c r="R111" i="14" s="1"/>
  <c r="R105" i="14"/>
  <c r="R107" i="14" s="1"/>
  <c r="S106" i="14" s="1"/>
  <c r="R543" i="29" l="1"/>
  <c r="R544" i="29" s="1"/>
  <c r="Q250" i="14"/>
  <c r="R534" i="29"/>
  <c r="R497" i="29"/>
  <c r="R488" i="29" s="1"/>
  <c r="R501" i="29" s="1"/>
  <c r="R507" i="29" s="1"/>
  <c r="R519" i="29"/>
  <c r="Q553" i="29"/>
  <c r="Q558" i="29"/>
  <c r="P555" i="29"/>
  <c r="R23" i="29"/>
  <c r="T98" i="14"/>
  <c r="T99" i="14" s="1"/>
  <c r="R126" i="14"/>
  <c r="R128" i="14" s="1"/>
  <c r="S127" i="14" s="1"/>
  <c r="R138" i="14"/>
  <c r="R139" i="14" s="1"/>
  <c r="S94" i="14"/>
  <c r="S90" i="14"/>
  <c r="Y155" i="14"/>
  <c r="Y157" i="14" s="1"/>
  <c r="R533" i="29" l="1"/>
  <c r="R548" i="29" s="1"/>
  <c r="R562" i="29" s="1"/>
  <c r="R520" i="29"/>
  <c r="R522" i="29" s="1"/>
  <c r="R528" i="29"/>
  <c r="Q566" i="29"/>
  <c r="Q555" i="29"/>
  <c r="R141" i="14"/>
  <c r="R142" i="14" s="1"/>
  <c r="S140" i="14"/>
  <c r="T100" i="14"/>
  <c r="S87" i="14"/>
  <c r="S91" i="14"/>
  <c r="T92" i="14" s="1"/>
  <c r="T95" i="14"/>
  <c r="R552" i="29" l="1"/>
  <c r="R540" i="29"/>
  <c r="T96" i="14"/>
  <c r="S88" i="14"/>
  <c r="T89" i="14" s="1"/>
  <c r="S102" i="14"/>
  <c r="Z155" i="14"/>
  <c r="Z157" i="14" s="1"/>
  <c r="R553" i="29" l="1"/>
  <c r="R555" i="29" s="1"/>
  <c r="R558" i="29"/>
  <c r="S104" i="14"/>
  <c r="S103" i="14"/>
  <c r="T97" i="14"/>
  <c r="T93" i="14"/>
  <c r="R566" i="29" l="1"/>
  <c r="U98" i="14"/>
  <c r="U99" i="14" s="1"/>
  <c r="T90" i="14"/>
  <c r="T91" i="14" s="1"/>
  <c r="U92" i="14" s="1"/>
  <c r="T94" i="14"/>
  <c r="T101" i="14"/>
  <c r="S83" i="14"/>
  <c r="S228" i="14" s="1"/>
  <c r="S17" i="29"/>
  <c r="S232" i="14" l="1"/>
  <c r="R247" i="14"/>
  <c r="R249" i="14" s="1"/>
  <c r="S18" i="29"/>
  <c r="S496" i="29" s="1"/>
  <c r="S20" i="29"/>
  <c r="S498" i="29" s="1"/>
  <c r="S19" i="29"/>
  <c r="U95" i="14"/>
  <c r="U100" i="14"/>
  <c r="S117" i="14"/>
  <c r="S111" i="14" s="1"/>
  <c r="S105" i="14"/>
  <c r="S107" i="14" s="1"/>
  <c r="T106" i="14" s="1"/>
  <c r="T87" i="14"/>
  <c r="S543" i="29" l="1"/>
  <c r="S544" i="29" s="1"/>
  <c r="R250" i="14"/>
  <c r="S534" i="29"/>
  <c r="S497" i="29"/>
  <c r="S488" i="29" s="1"/>
  <c r="S501" i="29" s="1"/>
  <c r="S507" i="29" s="1"/>
  <c r="S533" i="29"/>
  <c r="S519" i="29"/>
  <c r="T88" i="14"/>
  <c r="U89" i="14" s="1"/>
  <c r="T102" i="14"/>
  <c r="S23" i="29"/>
  <c r="S126" i="14"/>
  <c r="S128" i="14" s="1"/>
  <c r="T127" i="14" s="1"/>
  <c r="S138" i="14"/>
  <c r="S139" i="14" s="1"/>
  <c r="U96" i="14"/>
  <c r="U97" i="14" s="1"/>
  <c r="AA155" i="14"/>
  <c r="AA157" i="14" s="1"/>
  <c r="AB155" i="14"/>
  <c r="AB157" i="14" s="1"/>
  <c r="S548" i="29" l="1"/>
  <c r="S562" i="29" s="1"/>
  <c r="S141" i="14"/>
  <c r="S142" i="14" s="1"/>
  <c r="T140" i="14"/>
  <c r="V98" i="14"/>
  <c r="U93" i="14"/>
  <c r="T104" i="14"/>
  <c r="T103" i="14"/>
  <c r="S520" i="29" l="1"/>
  <c r="S522" i="29" s="1"/>
  <c r="S528" i="29"/>
  <c r="S552" i="29"/>
  <c r="U90" i="14"/>
  <c r="U91" i="14" s="1"/>
  <c r="V92" i="14" s="1"/>
  <c r="U101" i="14"/>
  <c r="U94" i="14"/>
  <c r="T83" i="14"/>
  <c r="T228" i="14" s="1"/>
  <c r="T17" i="29"/>
  <c r="V99" i="14"/>
  <c r="T232" i="14" l="1"/>
  <c r="S247" i="14"/>
  <c r="S249" i="14" s="1"/>
  <c r="T20" i="29"/>
  <c r="T498" i="29" s="1"/>
  <c r="T19" i="29"/>
  <c r="T18" i="29"/>
  <c r="T496" i="29" s="1"/>
  <c r="S540" i="29"/>
  <c r="U87" i="14"/>
  <c r="U102" i="14" s="1"/>
  <c r="U104" i="14" s="1"/>
  <c r="V95" i="14"/>
  <c r="V100" i="14"/>
  <c r="T117" i="14"/>
  <c r="T111" i="14" s="1"/>
  <c r="T105" i="14"/>
  <c r="T107" i="14" s="1"/>
  <c r="U106" i="14" s="1"/>
  <c r="AC155" i="14"/>
  <c r="AC157" i="14" s="1"/>
  <c r="T543" i="29" l="1"/>
  <c r="T544" i="29" s="1"/>
  <c r="S250" i="14"/>
  <c r="T534" i="29"/>
  <c r="T497" i="29"/>
  <c r="T488" i="29" s="1"/>
  <c r="T501" i="29" s="1"/>
  <c r="T507" i="29" s="1"/>
  <c r="T519" i="29"/>
  <c r="S553" i="29"/>
  <c r="S555" i="29" s="1"/>
  <c r="S558" i="29"/>
  <c r="U103" i="14"/>
  <c r="V101" i="14" s="1"/>
  <c r="U88" i="14"/>
  <c r="V89" i="14" s="1"/>
  <c r="T23" i="29"/>
  <c r="T126" i="14"/>
  <c r="T128" i="14" s="1"/>
  <c r="U127" i="14" s="1"/>
  <c r="T138" i="14"/>
  <c r="T139" i="14" s="1"/>
  <c r="V96" i="14"/>
  <c r="U83" i="14"/>
  <c r="U228" i="14" s="1"/>
  <c r="U17" i="29"/>
  <c r="AD155" i="14"/>
  <c r="AD157" i="14" s="1"/>
  <c r="U232" i="14" l="1"/>
  <c r="T247" i="14"/>
  <c r="T249" i="14" s="1"/>
  <c r="U543" i="29" s="1"/>
  <c r="U544" i="29" s="1"/>
  <c r="U18" i="29"/>
  <c r="U20" i="29"/>
  <c r="U498" i="29" s="1"/>
  <c r="U19" i="29"/>
  <c r="T533" i="29"/>
  <c r="T548" i="29" s="1"/>
  <c r="T562" i="29" s="1"/>
  <c r="S566" i="29"/>
  <c r="U117" i="14"/>
  <c r="U111" i="14" s="1"/>
  <c r="U105" i="14"/>
  <c r="U107" i="14" s="1"/>
  <c r="V106" i="14" s="1"/>
  <c r="T141" i="14"/>
  <c r="T142" i="14" s="1"/>
  <c r="U140" i="14"/>
  <c r="V97" i="14"/>
  <c r="V93" i="14"/>
  <c r="V90" i="14" s="1"/>
  <c r="T250" i="14" l="1"/>
  <c r="U534" i="29"/>
  <c r="U497" i="29"/>
  <c r="U533" i="29" s="1"/>
  <c r="U496" i="29"/>
  <c r="T520" i="29"/>
  <c r="T522" i="29" s="1"/>
  <c r="T528" i="29"/>
  <c r="T552" i="29"/>
  <c r="U126" i="14"/>
  <c r="U128" i="14" s="1"/>
  <c r="V127" i="14" s="1"/>
  <c r="U138" i="14"/>
  <c r="U139" i="14" s="1"/>
  <c r="W98" i="14"/>
  <c r="W99" i="14" s="1"/>
  <c r="V94" i="14"/>
  <c r="U23" i="29"/>
  <c r="V87" i="14"/>
  <c r="V91" i="14"/>
  <c r="W92" i="14" s="1"/>
  <c r="U488" i="29" l="1"/>
  <c r="U501" i="29" s="1"/>
  <c r="U507" i="29" s="1"/>
  <c r="U519" i="29"/>
  <c r="T540" i="29"/>
  <c r="U548" i="29"/>
  <c r="U562" i="29" s="1"/>
  <c r="V140" i="14"/>
  <c r="U141" i="14"/>
  <c r="U142" i="14" s="1"/>
  <c r="W100" i="14"/>
  <c r="W95" i="14"/>
  <c r="V102" i="14"/>
  <c r="V88" i="14"/>
  <c r="W89" i="14" s="1"/>
  <c r="AE155" i="14"/>
  <c r="AE157" i="14" s="1"/>
  <c r="U520" i="29" l="1"/>
  <c r="U522" i="29" s="1"/>
  <c r="U528" i="29"/>
  <c r="T553" i="29"/>
  <c r="T555" i="29" s="1"/>
  <c r="T558" i="29"/>
  <c r="U552" i="29"/>
  <c r="W96" i="14"/>
  <c r="W97" i="14" s="1"/>
  <c r="V104" i="14"/>
  <c r="V103" i="14"/>
  <c r="T566" i="29" l="1"/>
  <c r="U540" i="29"/>
  <c r="U553" i="29"/>
  <c r="U555" i="29" s="1"/>
  <c r="V83" i="14"/>
  <c r="V228" i="14" s="1"/>
  <c r="V17" i="29"/>
  <c r="W93" i="14"/>
  <c r="W90" i="14" s="1"/>
  <c r="W91" i="14" s="1"/>
  <c r="X92" i="14" s="1"/>
  <c r="X98" i="14"/>
  <c r="X99" i="14" s="1"/>
  <c r="W101" i="14"/>
  <c r="V232" i="14" l="1"/>
  <c r="U247" i="14"/>
  <c r="U249" i="14" s="1"/>
  <c r="V18" i="29"/>
  <c r="V20" i="29"/>
  <c r="V498" i="29" s="1"/>
  <c r="V19" i="29"/>
  <c r="U558" i="29"/>
  <c r="X100" i="14"/>
  <c r="W87" i="14"/>
  <c r="W94" i="14"/>
  <c r="V105" i="14"/>
  <c r="V107" i="14" s="1"/>
  <c r="W106" i="14" s="1"/>
  <c r="V117" i="14"/>
  <c r="V111" i="14" s="1"/>
  <c r="V543" i="29" l="1"/>
  <c r="V544" i="29" s="1"/>
  <c r="U250" i="14"/>
  <c r="V534" i="29"/>
  <c r="V497" i="29"/>
  <c r="V533" i="29" s="1"/>
  <c r="V496" i="29"/>
  <c r="U566" i="29"/>
  <c r="V23" i="29"/>
  <c r="V155" i="14"/>
  <c r="V157" i="14" s="1"/>
  <c r="V138" i="14"/>
  <c r="V139" i="14" s="1"/>
  <c r="V126" i="14"/>
  <c r="V128" i="14" s="1"/>
  <c r="W127" i="14" s="1"/>
  <c r="X95" i="14"/>
  <c r="W88" i="14"/>
  <c r="X89" i="14" s="1"/>
  <c r="W102" i="14"/>
  <c r="V488" i="29" l="1"/>
  <c r="V501" i="29" s="1"/>
  <c r="V507" i="29" s="1"/>
  <c r="V519" i="29"/>
  <c r="V548" i="29"/>
  <c r="V562" i="29" s="1"/>
  <c r="X96" i="14"/>
  <c r="W104" i="14"/>
  <c r="W103" i="14"/>
  <c r="W140" i="14"/>
  <c r="V141" i="14"/>
  <c r="V142" i="14" s="1"/>
  <c r="AG155" i="14"/>
  <c r="AG157" i="14" s="1"/>
  <c r="V520" i="29" l="1"/>
  <c r="V522" i="29" s="1"/>
  <c r="V528" i="29"/>
  <c r="V552" i="29"/>
  <c r="X101" i="14"/>
  <c r="W83" i="14"/>
  <c r="W228" i="14" s="1"/>
  <c r="W17" i="29"/>
  <c r="X97" i="14"/>
  <c r="X93" i="14"/>
  <c r="W232" i="14" l="1"/>
  <c r="V247" i="14"/>
  <c r="V249" i="14" s="1"/>
  <c r="W20" i="29"/>
  <c r="W498" i="29" s="1"/>
  <c r="W19" i="29"/>
  <c r="W18" i="29"/>
  <c r="V540" i="29"/>
  <c r="Y98" i="14"/>
  <c r="Y99" i="14" s="1"/>
  <c r="X94" i="14"/>
  <c r="X90" i="14"/>
  <c r="W117" i="14"/>
  <c r="W111" i="14" s="1"/>
  <c r="W105" i="14"/>
  <c r="W107" i="14" s="1"/>
  <c r="X106" i="14" s="1"/>
  <c r="W543" i="29" l="1"/>
  <c r="W544" i="29" s="1"/>
  <c r="V250" i="14"/>
  <c r="W534" i="29"/>
  <c r="W497" i="29"/>
  <c r="W533" i="29" s="1"/>
  <c r="W496" i="29"/>
  <c r="W519" i="29" s="1"/>
  <c r="V553" i="29"/>
  <c r="V555" i="29" s="1"/>
  <c r="V558" i="29"/>
  <c r="W23" i="29"/>
  <c r="Y95" i="14"/>
  <c r="W138" i="14"/>
  <c r="W139" i="14" s="1"/>
  <c r="W126" i="14"/>
  <c r="W128" i="14" s="1"/>
  <c r="X127" i="14" s="1"/>
  <c r="X91" i="14"/>
  <c r="Y92" i="14" s="1"/>
  <c r="X87" i="14"/>
  <c r="Y100" i="14"/>
  <c r="W488" i="29" l="1"/>
  <c r="W501" i="29" s="1"/>
  <c r="W507" i="29" s="1"/>
  <c r="V566" i="29"/>
  <c r="W548" i="29"/>
  <c r="W562" i="29" s="1"/>
  <c r="Y96" i="14"/>
  <c r="Y97" i="14" s="1"/>
  <c r="X102" i="14"/>
  <c r="X88" i="14"/>
  <c r="Y89" i="14" s="1"/>
  <c r="X140" i="14"/>
  <c r="W141" i="14"/>
  <c r="W142" i="14" s="1"/>
  <c r="W520" i="29" l="1"/>
  <c r="W522" i="29" s="1"/>
  <c r="W528" i="29"/>
  <c r="W552" i="29"/>
  <c r="Y93" i="14"/>
  <c r="Y94" i="14" s="1"/>
  <c r="Z95" i="14" s="1"/>
  <c r="X104" i="14"/>
  <c r="X103" i="14"/>
  <c r="Z98" i="14"/>
  <c r="Z99" i="14" s="1"/>
  <c r="AH155" i="14"/>
  <c r="AH157" i="14" s="1"/>
  <c r="W540" i="29" l="1"/>
  <c r="Y90" i="14"/>
  <c r="Y87" i="14" s="1"/>
  <c r="Y88" i="14" s="1"/>
  <c r="Z89" i="14" s="1"/>
  <c r="X83" i="14"/>
  <c r="X228" i="14" s="1"/>
  <c r="W247" i="14" s="1"/>
  <c r="X17" i="29"/>
  <c r="Z100" i="14"/>
  <c r="Y101" i="14"/>
  <c r="Z96" i="14"/>
  <c r="Z97" i="14" s="1"/>
  <c r="AH247" i="14" l="1"/>
  <c r="AJ247" i="14" s="1"/>
  <c r="W249" i="14"/>
  <c r="AI228" i="14"/>
  <c r="X232" i="14"/>
  <c r="X20" i="29"/>
  <c r="X498" i="29" s="1"/>
  <c r="AJ498" i="29" s="1"/>
  <c r="X19" i="29"/>
  <c r="X497" i="29" s="1"/>
  <c r="AJ497" i="29" s="1"/>
  <c r="X18" i="29"/>
  <c r="W553" i="29"/>
  <c r="W555" i="29" s="1"/>
  <c r="W558" i="29"/>
  <c r="Y102" i="14"/>
  <c r="Y103" i="14" s="1"/>
  <c r="Y91" i="14"/>
  <c r="Z92" i="14" s="1"/>
  <c r="Z93" i="14" s="1"/>
  <c r="Z94" i="14" s="1"/>
  <c r="AA98" i="14"/>
  <c r="AA99" i="14" s="1"/>
  <c r="AJ17" i="29"/>
  <c r="X117" i="14"/>
  <c r="X111" i="14" s="1"/>
  <c r="X105" i="14"/>
  <c r="X543" i="29" l="1"/>
  <c r="X544" i="29" s="1"/>
  <c r="AH249" i="14"/>
  <c r="AJ249" i="14" s="1"/>
  <c r="W250" i="14"/>
  <c r="AI232" i="14"/>
  <c r="AJ232" i="14" s="1"/>
  <c r="D71" i="52"/>
  <c r="D73" i="52" s="1"/>
  <c r="AJ228" i="14"/>
  <c r="AK231" i="14" s="1"/>
  <c r="AL214" i="14" s="1"/>
  <c r="AM214" i="14" s="1"/>
  <c r="AJ19" i="29"/>
  <c r="AJ20" i="29"/>
  <c r="AJ18" i="29"/>
  <c r="X496" i="29"/>
  <c r="X488" i="29" s="1"/>
  <c r="X501" i="29" s="1"/>
  <c r="W566" i="29"/>
  <c r="Y104" i="14"/>
  <c r="Y17" i="29" s="1"/>
  <c r="X23" i="29"/>
  <c r="AJ23" i="29" s="1"/>
  <c r="AA95" i="14"/>
  <c r="AA100" i="14"/>
  <c r="X126" i="14"/>
  <c r="X138" i="14"/>
  <c r="X139" i="14" s="1"/>
  <c r="X534" i="29"/>
  <c r="X533" i="29"/>
  <c r="AJ533" i="29" s="1"/>
  <c r="Z101" i="14"/>
  <c r="Z90" i="14"/>
  <c r="X107" i="14"/>
  <c r="Y106" i="14" s="1"/>
  <c r="AH250" i="14" l="1"/>
  <c r="AJ250" i="14" s="1"/>
  <c r="Y18" i="52"/>
  <c r="Y189" i="52"/>
  <c r="Y4" i="52"/>
  <c r="Y20" i="29"/>
  <c r="Y498" i="29" s="1"/>
  <c r="Y19" i="29"/>
  <c r="Y18" i="29"/>
  <c r="Y496" i="29" s="1"/>
  <c r="X507" i="29"/>
  <c r="AJ507" i="29" s="1"/>
  <c r="AJ501" i="29"/>
  <c r="AJ496" i="29"/>
  <c r="AJ488" i="29" s="1"/>
  <c r="X519" i="29"/>
  <c r="AH4" i="52"/>
  <c r="AA108" i="52" s="1"/>
  <c r="C140" i="14"/>
  <c r="S8" i="52" s="1"/>
  <c r="Y83" i="14"/>
  <c r="X128" i="14"/>
  <c r="Y127" i="14" s="1"/>
  <c r="Y140" i="14"/>
  <c r="X141" i="14"/>
  <c r="X142" i="14" s="1"/>
  <c r="Z87" i="14"/>
  <c r="Z91" i="14"/>
  <c r="AA92" i="14" s="1"/>
  <c r="AJ534" i="29"/>
  <c r="AA96" i="14"/>
  <c r="AA97" i="14" s="1"/>
  <c r="Y534" i="29" l="1"/>
  <c r="Y497" i="29"/>
  <c r="Y488" i="29" s="1"/>
  <c r="Y501" i="29" s="1"/>
  <c r="Y507" i="29" s="1"/>
  <c r="AJ519" i="29"/>
  <c r="Y533" i="29"/>
  <c r="Y519" i="29"/>
  <c r="Y105" i="14"/>
  <c r="Y107" i="14" s="1"/>
  <c r="Z106" i="14" s="1"/>
  <c r="Y228" i="14"/>
  <c r="S142" i="52"/>
  <c r="X548" i="29"/>
  <c r="D199" i="52"/>
  <c r="Y117" i="14"/>
  <c r="Y111" i="14" s="1"/>
  <c r="Y138" i="14" s="1"/>
  <c r="Y139" i="14" s="1"/>
  <c r="Y23" i="29"/>
  <c r="AB98" i="14"/>
  <c r="Z102" i="14"/>
  <c r="Z88" i="14"/>
  <c r="AA89" i="14" s="1"/>
  <c r="AA93" i="14"/>
  <c r="Y232" i="14" l="1"/>
  <c r="X247" i="14"/>
  <c r="X249" i="14" s="1"/>
  <c r="Y548" i="29"/>
  <c r="Y520" i="29"/>
  <c r="Y522" i="29" s="1"/>
  <c r="Y528" i="29"/>
  <c r="D200" i="52"/>
  <c r="D201" i="52" s="1"/>
  <c r="Y194" i="52" s="1"/>
  <c r="AJ548" i="29"/>
  <c r="X562" i="29"/>
  <c r="Y126" i="14"/>
  <c r="Y128" i="14" s="1"/>
  <c r="Z127" i="14" s="1"/>
  <c r="AA90" i="14"/>
  <c r="AA91" i="14" s="1"/>
  <c r="AB92" i="14" s="1"/>
  <c r="Y141" i="14"/>
  <c r="Y142" i="14" s="1"/>
  <c r="Z140" i="14"/>
  <c r="Z104" i="14"/>
  <c r="Z103" i="14"/>
  <c r="AA94" i="14"/>
  <c r="AB99" i="14"/>
  <c r="AB100" i="14" s="1"/>
  <c r="Y543" i="29" l="1"/>
  <c r="Y544" i="29" s="1"/>
  <c r="X250" i="14"/>
  <c r="X520" i="29"/>
  <c r="X528" i="29"/>
  <c r="AJ528" i="29" s="1"/>
  <c r="X552" i="29"/>
  <c r="Y562" i="29"/>
  <c r="AJ562" i="29"/>
  <c r="Y540" i="29"/>
  <c r="AJ508" i="29"/>
  <c r="AA87" i="14"/>
  <c r="AA102" i="14" s="1"/>
  <c r="AB95" i="14"/>
  <c r="Z83" i="14"/>
  <c r="Z228" i="14" s="1"/>
  <c r="Z17" i="29"/>
  <c r="AA101" i="14"/>
  <c r="Y552" i="29" l="1"/>
  <c r="Z232" i="14"/>
  <c r="Y247" i="14"/>
  <c r="Y249" i="14" s="1"/>
  <c r="Z543" i="29" s="1"/>
  <c r="Z544" i="29" s="1"/>
  <c r="Z19" i="29"/>
  <c r="Z18" i="29"/>
  <c r="Z20" i="29"/>
  <c r="Z498" i="29" s="1"/>
  <c r="AJ544" i="29"/>
  <c r="D189" i="52" s="1"/>
  <c r="AJ543" i="29"/>
  <c r="AJ520" i="29"/>
  <c r="AJ522" i="29" s="1"/>
  <c r="X522" i="29"/>
  <c r="X540" i="29"/>
  <c r="AA88" i="14"/>
  <c r="AB89" i="14" s="1"/>
  <c r="Z117" i="14"/>
  <c r="Z111" i="14" s="1"/>
  <c r="Z105" i="14"/>
  <c r="AA103" i="14"/>
  <c r="AA104" i="14"/>
  <c r="AB96" i="14"/>
  <c r="AA6" i="52" l="1"/>
  <c r="S12" i="52" s="1"/>
  <c r="S148" i="52" s="1"/>
  <c r="Y190" i="52"/>
  <c r="Y250" i="14"/>
  <c r="X558" i="29"/>
  <c r="Y558" i="29" s="1"/>
  <c r="Z534" i="29"/>
  <c r="Z497" i="29"/>
  <c r="Z496" i="29"/>
  <c r="Z533" i="29"/>
  <c r="AJ545" i="29"/>
  <c r="AJ552" i="29" s="1"/>
  <c r="AJ540" i="29"/>
  <c r="Z23" i="29"/>
  <c r="AA83" i="14"/>
  <c r="AA228" i="14" s="1"/>
  <c r="AA17" i="29"/>
  <c r="AB97" i="14"/>
  <c r="AB93" i="14"/>
  <c r="AB90" i="14" s="1"/>
  <c r="Z107" i="14"/>
  <c r="AA106" i="14" s="1"/>
  <c r="AB101" i="14"/>
  <c r="Z126" i="14"/>
  <c r="Z138" i="14"/>
  <c r="Z139" i="14" s="1"/>
  <c r="AA232" i="14" l="1"/>
  <c r="Z247" i="14"/>
  <c r="Z249" i="14" s="1"/>
  <c r="AA543" i="29" s="1"/>
  <c r="AA544" i="29" s="1"/>
  <c r="AA18" i="29"/>
  <c r="AA496" i="29" s="1"/>
  <c r="AA19" i="29"/>
  <c r="AA20" i="29"/>
  <c r="AA498" i="29" s="1"/>
  <c r="AJ558" i="29"/>
  <c r="AJ566" i="29" s="1"/>
  <c r="X566" i="29"/>
  <c r="Z488" i="29"/>
  <c r="Z501" i="29" s="1"/>
  <c r="Z507" i="29" s="1"/>
  <c r="Z519" i="29"/>
  <c r="Y566" i="29"/>
  <c r="Z548" i="29"/>
  <c r="Z562" i="29" s="1"/>
  <c r="C554" i="29"/>
  <c r="S151" i="52" s="1"/>
  <c r="X553" i="29"/>
  <c r="Z128" i="14"/>
  <c r="AA127" i="14" s="1"/>
  <c r="AA140" i="14"/>
  <c r="Z141" i="14"/>
  <c r="Z142" i="14" s="1"/>
  <c r="AB87" i="14"/>
  <c r="AB91" i="14"/>
  <c r="AC92" i="14" s="1"/>
  <c r="AC98" i="14"/>
  <c r="AC99" i="14" s="1"/>
  <c r="AB94" i="14"/>
  <c r="AA105" i="14"/>
  <c r="AA117" i="14"/>
  <c r="AA111" i="14" s="1"/>
  <c r="Z250" i="14" l="1"/>
  <c r="AA534" i="29"/>
  <c r="AA497" i="29"/>
  <c r="AA488" i="29" s="1"/>
  <c r="AA501" i="29" s="1"/>
  <c r="AA507" i="29" s="1"/>
  <c r="Z520" i="29"/>
  <c r="Z522" i="29" s="1"/>
  <c r="Z528" i="29"/>
  <c r="AA519" i="29"/>
  <c r="Z552" i="29"/>
  <c r="Y553" i="29"/>
  <c r="X555" i="29"/>
  <c r="AA23" i="29"/>
  <c r="AC100" i="14"/>
  <c r="AB102" i="14"/>
  <c r="AB88" i="14"/>
  <c r="AC89" i="14" s="1"/>
  <c r="AC95" i="14"/>
  <c r="AA126" i="14"/>
  <c r="AA138" i="14"/>
  <c r="AA139" i="14" s="1"/>
  <c r="AA107" i="14"/>
  <c r="AB106" i="14" s="1"/>
  <c r="AA533" i="29" l="1"/>
  <c r="AA548" i="29" s="1"/>
  <c r="AA562" i="29" s="1"/>
  <c r="Z540" i="29"/>
  <c r="Y555" i="29"/>
  <c r="AC96" i="14"/>
  <c r="AC97" i="14" s="1"/>
  <c r="AA128" i="14"/>
  <c r="AB127" i="14" s="1"/>
  <c r="AB140" i="14"/>
  <c r="AA141" i="14"/>
  <c r="AA142" i="14" s="1"/>
  <c r="AB104" i="14"/>
  <c r="AB103" i="14"/>
  <c r="AA520" i="29" l="1"/>
  <c r="AA522" i="29" s="1"/>
  <c r="AA528" i="29"/>
  <c r="Z553" i="29"/>
  <c r="Z555" i="29" s="1"/>
  <c r="Z558" i="29"/>
  <c r="AA552" i="29"/>
  <c r="AC101" i="14"/>
  <c r="AB83" i="14"/>
  <c r="AB228" i="14" s="1"/>
  <c r="AB17" i="29"/>
  <c r="AD98" i="14"/>
  <c r="AD99" i="14" s="1"/>
  <c r="AC93" i="14"/>
  <c r="AB232" i="14" l="1"/>
  <c r="AA247" i="14"/>
  <c r="AA249" i="14" s="1"/>
  <c r="AB19" i="29"/>
  <c r="AB20" i="29"/>
  <c r="AB498" i="29" s="1"/>
  <c r="AB18" i="29"/>
  <c r="AB496" i="29" s="1"/>
  <c r="Z566" i="29"/>
  <c r="AA540" i="29"/>
  <c r="AA558" i="29"/>
  <c r="AC94" i="14"/>
  <c r="AC90" i="14"/>
  <c r="AC91" i="14" s="1"/>
  <c r="AD92" i="14" s="1"/>
  <c r="AD100" i="14"/>
  <c r="AB117" i="14"/>
  <c r="AB111" i="14" s="1"/>
  <c r="AB105" i="14"/>
  <c r="AB543" i="29" l="1"/>
  <c r="AB544" i="29" s="1"/>
  <c r="AA250" i="14"/>
  <c r="AB534" i="29"/>
  <c r="AB497" i="29"/>
  <c r="AB488" i="29" s="1"/>
  <c r="AB501" i="29" s="1"/>
  <c r="AB507" i="29" s="1"/>
  <c r="AB519" i="29"/>
  <c r="AA566" i="29"/>
  <c r="AA553" i="29"/>
  <c r="AA555" i="29" s="1"/>
  <c r="AB107" i="14"/>
  <c r="AC106" i="14" s="1"/>
  <c r="AB138" i="14"/>
  <c r="AB139" i="14" s="1"/>
  <c r="AB126" i="14"/>
  <c r="AD95" i="14"/>
  <c r="AC87" i="14"/>
  <c r="AB23" i="29"/>
  <c r="AB533" i="29" l="1"/>
  <c r="AB548" i="29" s="1"/>
  <c r="AB562" i="29" s="1"/>
  <c r="AD96" i="14"/>
  <c r="AC140" i="14"/>
  <c r="AB141" i="14"/>
  <c r="AB142" i="14" s="1"/>
  <c r="AB128" i="14"/>
  <c r="AC127" i="14" s="1"/>
  <c r="AC102" i="14"/>
  <c r="AC88" i="14"/>
  <c r="AD89" i="14" s="1"/>
  <c r="AB520" i="29" l="1"/>
  <c r="AB522" i="29" s="1"/>
  <c r="AB528" i="29"/>
  <c r="AB552" i="29"/>
  <c r="AC104" i="14"/>
  <c r="AC103" i="14"/>
  <c r="AD93" i="14"/>
  <c r="AD90" i="14" s="1"/>
  <c r="AD97" i="14"/>
  <c r="AB540" i="29" l="1"/>
  <c r="AD87" i="14"/>
  <c r="AD91" i="14"/>
  <c r="AE92" i="14" s="1"/>
  <c r="AE98" i="14"/>
  <c r="AE99" i="14" s="1"/>
  <c r="AC83" i="14"/>
  <c r="AC228" i="14" s="1"/>
  <c r="AC17" i="29"/>
  <c r="AD94" i="14"/>
  <c r="AD101" i="14"/>
  <c r="AC232" i="14" l="1"/>
  <c r="AB247" i="14"/>
  <c r="AB249" i="14" s="1"/>
  <c r="AC19" i="29"/>
  <c r="AC20" i="29"/>
  <c r="AC498" i="29" s="1"/>
  <c r="AC18" i="29"/>
  <c r="AB553" i="29"/>
  <c r="AB555" i="29" s="1"/>
  <c r="AB558" i="29"/>
  <c r="AE95" i="14"/>
  <c r="AC117" i="14"/>
  <c r="AC111" i="14" s="1"/>
  <c r="AC105" i="14"/>
  <c r="AC107" i="14" s="1"/>
  <c r="AD106" i="14" s="1"/>
  <c r="AE100" i="14"/>
  <c r="AD102" i="14"/>
  <c r="AD103" i="14" s="1"/>
  <c r="AD88" i="14"/>
  <c r="AE89" i="14" s="1"/>
  <c r="AC543" i="29" l="1"/>
  <c r="AC544" i="29" s="1"/>
  <c r="AB250" i="14"/>
  <c r="AC534" i="29"/>
  <c r="AC497" i="29"/>
  <c r="AC533" i="29" s="1"/>
  <c r="AC496" i="29"/>
  <c r="AB566" i="29"/>
  <c r="AE101" i="14"/>
  <c r="AE96" i="14"/>
  <c r="AC23" i="29"/>
  <c r="AD104" i="14"/>
  <c r="AC126" i="14"/>
  <c r="AC128" i="14" s="1"/>
  <c r="AD127" i="14" s="1"/>
  <c r="AC138" i="14"/>
  <c r="AC139" i="14" s="1"/>
  <c r="AC488" i="29" l="1"/>
  <c r="AC501" i="29" s="1"/>
  <c r="AC507" i="29" s="1"/>
  <c r="AC519" i="29"/>
  <c r="AC548" i="29"/>
  <c r="AC562" i="29" s="1"/>
  <c r="AD140" i="14"/>
  <c r="AC141" i="14"/>
  <c r="AC142" i="14" s="1"/>
  <c r="AD83" i="14"/>
  <c r="AD228" i="14" s="1"/>
  <c r="AD17" i="29"/>
  <c r="AE97" i="14"/>
  <c r="AE93" i="14"/>
  <c r="AE90" i="14" s="1"/>
  <c r="AE91" i="14" s="1"/>
  <c r="AF92" i="14" s="1"/>
  <c r="AD232" i="14" l="1"/>
  <c r="AC247" i="14"/>
  <c r="AC249" i="14" s="1"/>
  <c r="AD20" i="29"/>
  <c r="AD498" i="29" s="1"/>
  <c r="AD19" i="29"/>
  <c r="AD18" i="29"/>
  <c r="AC520" i="29"/>
  <c r="AC522" i="29" s="1"/>
  <c r="AC528" i="29"/>
  <c r="AC552" i="29"/>
  <c r="AF98" i="14"/>
  <c r="AF99" i="14" s="1"/>
  <c r="AE94" i="14"/>
  <c r="AE87" i="14"/>
  <c r="AD117" i="14"/>
  <c r="AD111" i="14" s="1"/>
  <c r="AD105" i="14"/>
  <c r="AD107" i="14" s="1"/>
  <c r="AE106" i="14" s="1"/>
  <c r="AD543" i="29" l="1"/>
  <c r="AD544" i="29" s="1"/>
  <c r="AC250" i="14"/>
  <c r="AD534" i="29"/>
  <c r="AD497" i="29"/>
  <c r="AD533" i="29" s="1"/>
  <c r="AD496" i="29"/>
  <c r="AC540" i="29"/>
  <c r="AD23" i="29"/>
  <c r="AE102" i="14"/>
  <c r="AE88" i="14"/>
  <c r="AF89" i="14" s="1"/>
  <c r="AF95" i="14"/>
  <c r="AD126" i="14"/>
  <c r="AD128" i="14" s="1"/>
  <c r="AE127" i="14" s="1"/>
  <c r="AD138" i="14"/>
  <c r="AD139" i="14" s="1"/>
  <c r="AF100" i="14"/>
  <c r="AD488" i="29" l="1"/>
  <c r="AD501" i="29" s="1"/>
  <c r="AD507" i="29" s="1"/>
  <c r="AD520" i="29" s="1"/>
  <c r="AD548" i="29"/>
  <c r="AD562" i="29" s="1"/>
  <c r="AD519" i="29"/>
  <c r="AC553" i="29"/>
  <c r="AC555" i="29" s="1"/>
  <c r="AC558" i="29"/>
  <c r="AF96" i="14"/>
  <c r="AE104" i="14"/>
  <c r="AE103" i="14"/>
  <c r="AE140" i="14"/>
  <c r="AD141" i="14"/>
  <c r="AD142" i="14" s="1"/>
  <c r="AD552" i="29" l="1"/>
  <c r="AD528" i="29"/>
  <c r="AD558" i="29" s="1"/>
  <c r="AD522" i="29"/>
  <c r="AC566" i="29"/>
  <c r="AF97" i="14"/>
  <c r="AF93" i="14"/>
  <c r="AF90" i="14" s="1"/>
  <c r="AF91" i="14" s="1"/>
  <c r="AG92" i="14" s="1"/>
  <c r="AF101" i="14"/>
  <c r="AE83" i="14"/>
  <c r="AE228" i="14" s="1"/>
  <c r="AE17" i="29"/>
  <c r="AE232" i="14" l="1"/>
  <c r="AD247" i="14"/>
  <c r="AD249" i="14" s="1"/>
  <c r="AE20" i="29"/>
  <c r="AE498" i="29" s="1"/>
  <c r="AE19" i="29"/>
  <c r="AE18" i="29"/>
  <c r="AE496" i="29" s="1"/>
  <c r="AD540" i="29"/>
  <c r="AD553" i="29"/>
  <c r="AD555" i="29" s="1"/>
  <c r="AD566" i="29"/>
  <c r="AE117" i="14"/>
  <c r="AE111" i="14" s="1"/>
  <c r="AE105" i="14"/>
  <c r="AE107" i="14" s="1"/>
  <c r="AF106" i="14" s="1"/>
  <c r="AF87" i="14"/>
  <c r="AF94" i="14"/>
  <c r="AG98" i="14"/>
  <c r="AE543" i="29" l="1"/>
  <c r="AE544" i="29" s="1"/>
  <c r="AD250" i="14"/>
  <c r="AE534" i="29"/>
  <c r="AE497" i="29"/>
  <c r="AE488" i="29" s="1"/>
  <c r="AE501" i="29" s="1"/>
  <c r="AE507" i="29" s="1"/>
  <c r="AE519" i="29"/>
  <c r="AF102" i="14"/>
  <c r="AF88" i="14"/>
  <c r="AG89" i="14" s="1"/>
  <c r="AG95" i="14"/>
  <c r="AG99" i="14"/>
  <c r="AE23" i="29"/>
  <c r="AE138" i="14"/>
  <c r="AE139" i="14" s="1"/>
  <c r="AE126" i="14"/>
  <c r="AE128" i="14" s="1"/>
  <c r="AF127" i="14" s="1"/>
  <c r="AE533" i="29" l="1"/>
  <c r="AE548" i="29" s="1"/>
  <c r="AE562" i="29" s="1"/>
  <c r="AE520" i="29"/>
  <c r="AE522" i="29" s="1"/>
  <c r="AE528" i="29"/>
  <c r="AE558" i="29" s="1"/>
  <c r="AG100" i="14"/>
  <c r="AF140" i="14"/>
  <c r="AE141" i="14"/>
  <c r="AE142" i="14" s="1"/>
  <c r="AG96" i="14"/>
  <c r="AF104" i="14"/>
  <c r="AF103" i="14"/>
  <c r="AE552" i="29" l="1"/>
  <c r="AE553" i="29" s="1"/>
  <c r="AE555" i="29" s="1"/>
  <c r="AE566" i="29"/>
  <c r="AE540" i="29"/>
  <c r="AG97" i="14"/>
  <c r="AG93" i="14"/>
  <c r="AG101" i="14"/>
  <c r="AF83" i="14"/>
  <c r="AF228" i="14" s="1"/>
  <c r="AF17" i="29"/>
  <c r="AF232" i="14" l="1"/>
  <c r="AE247" i="14"/>
  <c r="AE249" i="14" s="1"/>
  <c r="AF20" i="29"/>
  <c r="AF498" i="29" s="1"/>
  <c r="AF19" i="29"/>
  <c r="AF18" i="29"/>
  <c r="AF496" i="29" s="1"/>
  <c r="AF105" i="14"/>
  <c r="AF107" i="14" s="1"/>
  <c r="AG106" i="14" s="1"/>
  <c r="AF117" i="14"/>
  <c r="AF111" i="14" s="1"/>
  <c r="AG94" i="14"/>
  <c r="AG90" i="14"/>
  <c r="AH98" i="14"/>
  <c r="AF543" i="29" l="1"/>
  <c r="AF544" i="29" s="1"/>
  <c r="AE250" i="14"/>
  <c r="AF534" i="29"/>
  <c r="AF497" i="29"/>
  <c r="AF488" i="29" s="1"/>
  <c r="AF501" i="29" s="1"/>
  <c r="AF507" i="29" s="1"/>
  <c r="AF533" i="29"/>
  <c r="AF519" i="29"/>
  <c r="AG87" i="14"/>
  <c r="AG91" i="14"/>
  <c r="AH92" i="14" s="1"/>
  <c r="AH99" i="14"/>
  <c r="AH100" i="14" s="1"/>
  <c r="AH95" i="14"/>
  <c r="AF23" i="29"/>
  <c r="AF155" i="14"/>
  <c r="AF157" i="14" s="1"/>
  <c r="AF138" i="14"/>
  <c r="AF139" i="14" s="1"/>
  <c r="AF126" i="14"/>
  <c r="AF128" i="14" s="1"/>
  <c r="AG127" i="14" s="1"/>
  <c r="AF548" i="29" l="1"/>
  <c r="AF562" i="29" s="1"/>
  <c r="AF520" i="29"/>
  <c r="AF522" i="29" s="1"/>
  <c r="AF528" i="29"/>
  <c r="AH96" i="14"/>
  <c r="AG140" i="14"/>
  <c r="AF141" i="14"/>
  <c r="AF142" i="14" s="1"/>
  <c r="AG102" i="14"/>
  <c r="AG88" i="14"/>
  <c r="AH89" i="14" s="1"/>
  <c r="AF552" i="29" l="1"/>
  <c r="AF540" i="29"/>
  <c r="AF558" i="29"/>
  <c r="AG104" i="14"/>
  <c r="AG103" i="14"/>
  <c r="AH97" i="14"/>
  <c r="AH93" i="14"/>
  <c r="AF566" i="29" l="1"/>
  <c r="AF553" i="29"/>
  <c r="AF555" i="29" s="1"/>
  <c r="AH94" i="14"/>
  <c r="AH90" i="14"/>
  <c r="AH91" i="14" s="1"/>
  <c r="AH101" i="14"/>
  <c r="AG83" i="14"/>
  <c r="AG228" i="14" s="1"/>
  <c r="AG17" i="29"/>
  <c r="AG232" i="14" l="1"/>
  <c r="AF247" i="14"/>
  <c r="AF249" i="14" s="1"/>
  <c r="AG20" i="29"/>
  <c r="AG498" i="29" s="1"/>
  <c r="AG19" i="29"/>
  <c r="AG18" i="29"/>
  <c r="AG496" i="29" s="1"/>
  <c r="AH87" i="14"/>
  <c r="AH102" i="14" s="1"/>
  <c r="AH103" i="14" s="1"/>
  <c r="AG105" i="14"/>
  <c r="AG107" i="14" s="1"/>
  <c r="AH106" i="14" s="1"/>
  <c r="AG117" i="14"/>
  <c r="AG111" i="14" s="1"/>
  <c r="AG543" i="29" l="1"/>
  <c r="AG544" i="29" s="1"/>
  <c r="AF250" i="14"/>
  <c r="AG534" i="29"/>
  <c r="AG497" i="29"/>
  <c r="AG488" i="29" s="1"/>
  <c r="AG501" i="29" s="1"/>
  <c r="AG507" i="29" s="1"/>
  <c r="AG533" i="29"/>
  <c r="AG519" i="29"/>
  <c r="AH88" i="14"/>
  <c r="AH104" i="14"/>
  <c r="AG126" i="14"/>
  <c r="AG128" i="14" s="1"/>
  <c r="AH127" i="14" s="1"/>
  <c r="AG138" i="14"/>
  <c r="AG139" i="14" s="1"/>
  <c r="AG23" i="29"/>
  <c r="AG548" i="29" l="1"/>
  <c r="AG562" i="29" s="1"/>
  <c r="AG520" i="29"/>
  <c r="AG522" i="29" s="1"/>
  <c r="AG528" i="29"/>
  <c r="AH140" i="14"/>
  <c r="AG141" i="14"/>
  <c r="AG142" i="14" s="1"/>
  <c r="AH83" i="14"/>
  <c r="AH228" i="14" s="1"/>
  <c r="AH17" i="29"/>
  <c r="AH232" i="14" l="1"/>
  <c r="AG247" i="14"/>
  <c r="AH19" i="29"/>
  <c r="AH497" i="29" s="1"/>
  <c r="AK497" i="29" s="1"/>
  <c r="AH18" i="29"/>
  <c r="AH20" i="29"/>
  <c r="AH498" i="29" s="1"/>
  <c r="AK498" i="29" s="1"/>
  <c r="AG552" i="29"/>
  <c r="AG540" i="29"/>
  <c r="AG558" i="29"/>
  <c r="S10" i="52"/>
  <c r="S145" i="52" s="1"/>
  <c r="AK17" i="29"/>
  <c r="AI83" i="14"/>
  <c r="AH105" i="14"/>
  <c r="AH117" i="14"/>
  <c r="AH111" i="14" s="1"/>
  <c r="AI247" i="14" l="1"/>
  <c r="AG249" i="14"/>
  <c r="AK19" i="29"/>
  <c r="AK18" i="29"/>
  <c r="AK20" i="29"/>
  <c r="AH496" i="29"/>
  <c r="AH488" i="29" s="1"/>
  <c r="AH501" i="29" s="1"/>
  <c r="AG553" i="29"/>
  <c r="AG555" i="29" s="1"/>
  <c r="AG566" i="29"/>
  <c r="AH23" i="29"/>
  <c r="AK23" i="29" s="1"/>
  <c r="AH138" i="14"/>
  <c r="AH139" i="14" s="1"/>
  <c r="AH126" i="14"/>
  <c r="AH107" i="14"/>
  <c r="AI107" i="14" s="1"/>
  <c r="AI105" i="14"/>
  <c r="AH533" i="29"/>
  <c r="AK533" i="29" s="1"/>
  <c r="AH534" i="29"/>
  <c r="AH543" i="29" l="1"/>
  <c r="AH544" i="29" s="1"/>
  <c r="AI249" i="14"/>
  <c r="AG250" i="14"/>
  <c r="AI250" i="14" s="1"/>
  <c r="AH519" i="29"/>
  <c r="AK496" i="29"/>
  <c r="AK488" i="29" s="1"/>
  <c r="AH507" i="29"/>
  <c r="AK507" i="29" s="1"/>
  <c r="AK501" i="29"/>
  <c r="AH141" i="14"/>
  <c r="AH142" i="14" s="1"/>
  <c r="AK534" i="29"/>
  <c r="AH128" i="14"/>
  <c r="AI126" i="14"/>
  <c r="AK519" i="29" l="1"/>
  <c r="AH548" i="29"/>
  <c r="AK4" i="52"/>
  <c r="AD108" i="52" s="1"/>
  <c r="AK548" i="29" l="1"/>
  <c r="AH562" i="29"/>
  <c r="AK562" i="29" s="1"/>
  <c r="AH520" i="29" l="1"/>
  <c r="AK520" i="29" s="1"/>
  <c r="AK522" i="29" s="1"/>
  <c r="AH528" i="29"/>
  <c r="AK528" i="29" s="1"/>
  <c r="AH552" i="29"/>
  <c r="AK508" i="29"/>
  <c r="AH522" i="29" l="1"/>
  <c r="AK543" i="29"/>
  <c r="AH540" i="29"/>
  <c r="AH553" i="29"/>
  <c r="AH555" i="29" s="1"/>
  <c r="C555" i="29" s="1"/>
  <c r="S154" i="52" s="1"/>
  <c r="AK545" i="29"/>
  <c r="AK544" i="29" l="1"/>
  <c r="AK552" i="29" s="1"/>
  <c r="AH558" i="29"/>
  <c r="AK540" i="29"/>
  <c r="AK558" i="29" l="1"/>
  <c r="AK566" i="29" s="1"/>
  <c r="AH566" i="29"/>
</calcChain>
</file>

<file path=xl/comments1.xml><?xml version="1.0" encoding="utf-8"?>
<comments xmlns="http://schemas.openxmlformats.org/spreadsheetml/2006/main">
  <authors>
    <author>作成者</author>
  </authors>
  <commentList>
    <comment ref="E98" authorId="0" shapeId="0">
      <text>
        <r>
          <rPr>
            <b/>
            <sz val="9"/>
            <color indexed="81"/>
            <rFont val="ＭＳ Ｐゴシック"/>
            <family val="3"/>
            <charset val="128"/>
          </rPr>
          <t>バンブーパンフより
補助金13億円
借入6億円
（レビック社債・政策金融公庫・FFG
総事業費16億円</t>
        </r>
      </text>
    </comment>
    <comment ref="E101" authorId="0" shapeId="0">
      <text>
        <r>
          <rPr>
            <b/>
            <sz val="9"/>
            <color indexed="81"/>
            <rFont val="ＭＳ Ｐゴシック"/>
            <family val="3"/>
            <charset val="128"/>
          </rPr>
          <t>バンブーパンフより
補助金13億円
借入6億円
（レビック社債・政策金融公庫・FFG
総事業費16億円</t>
        </r>
      </text>
    </comment>
    <comment ref="E104" authorId="0" shapeId="0">
      <text>
        <r>
          <rPr>
            <b/>
            <sz val="9"/>
            <color indexed="81"/>
            <rFont val="ＭＳ Ｐゴシック"/>
            <family val="3"/>
            <charset val="128"/>
          </rPr>
          <t>バンブーパンフより
補助金13億円
借入6億円
（レビック社債・政策金融公庫・FFG
総事業費16億円</t>
        </r>
      </text>
    </comment>
  </commentList>
</comments>
</file>

<file path=xl/comments2.xml><?xml version="1.0" encoding="utf-8"?>
<comments xmlns="http://schemas.openxmlformats.org/spreadsheetml/2006/main">
  <authors>
    <author>作成者</author>
  </authors>
  <commentList>
    <comment ref="G65" authorId="0" shapeId="0">
      <text>
        <r>
          <rPr>
            <b/>
            <sz val="9"/>
            <color indexed="81"/>
            <rFont val="ＭＳ Ｐゴシック"/>
            <family val="3"/>
            <charset val="128"/>
          </rPr>
          <t>境澤亮祐:仮置で根拠なしなので注意</t>
        </r>
      </text>
    </comment>
  </commentList>
</comments>
</file>

<file path=xl/comments3.xml><?xml version="1.0" encoding="utf-8"?>
<comments xmlns="http://schemas.openxmlformats.org/spreadsheetml/2006/main">
  <authors>
    <author>作成者</author>
  </authors>
  <commentList>
    <comment ref="AI15" authorId="0" shapeId="0">
      <text>
        <r>
          <rPr>
            <b/>
            <sz val="9"/>
            <color indexed="81"/>
            <rFont val="ＭＳ Ｐゴシック"/>
            <family val="3"/>
            <charset val="128"/>
          </rPr>
          <t>2030年まで合計</t>
        </r>
      </text>
    </comment>
  </commentList>
</comments>
</file>

<file path=xl/sharedStrings.xml><?xml version="1.0" encoding="utf-8"?>
<sst xmlns="http://schemas.openxmlformats.org/spreadsheetml/2006/main" count="2854" uniqueCount="1148">
  <si>
    <t>円</t>
    <rPh sb="0" eb="1">
      <t>エン</t>
    </rPh>
    <phoneticPr fontId="5"/>
  </si>
  <si>
    <t>単位</t>
    <rPh sb="0" eb="2">
      <t>タンイ</t>
    </rPh>
    <phoneticPr fontId="5"/>
  </si>
  <si>
    <t>熱量</t>
    <rPh sb="0" eb="2">
      <t>ネツリョウ</t>
    </rPh>
    <phoneticPr fontId="5"/>
  </si>
  <si>
    <t>電気</t>
    <rPh sb="0" eb="2">
      <t>デンキ</t>
    </rPh>
    <phoneticPr fontId="5"/>
  </si>
  <si>
    <t>熱</t>
    <rPh sb="0" eb="1">
      <t>ネツ</t>
    </rPh>
    <phoneticPr fontId="5"/>
  </si>
  <si>
    <t>運用費（変動）</t>
    <rPh sb="0" eb="2">
      <t>ウンヨウ</t>
    </rPh>
    <rPh sb="2" eb="3">
      <t>ヒ</t>
    </rPh>
    <rPh sb="4" eb="6">
      <t>ヘンドウ</t>
    </rPh>
    <phoneticPr fontId="5"/>
  </si>
  <si>
    <t>円/トン</t>
    <rPh sb="0" eb="1">
      <t>エン</t>
    </rPh>
    <phoneticPr fontId="5"/>
  </si>
  <si>
    <t>運用費（固定）</t>
    <rPh sb="0" eb="2">
      <t>ウンヨウ</t>
    </rPh>
    <rPh sb="2" eb="3">
      <t>ヒ</t>
    </rPh>
    <rPh sb="4" eb="6">
      <t>コテイ</t>
    </rPh>
    <phoneticPr fontId="5"/>
  </si>
  <si>
    <t>金利</t>
    <rPh sb="0" eb="2">
      <t>キンリ</t>
    </rPh>
    <phoneticPr fontId="5"/>
  </si>
  <si>
    <r>
      <rPr>
        <b/>
        <sz val="10"/>
        <rFont val="ＭＳ Ｐゴシック"/>
        <family val="3"/>
        <charset val="128"/>
      </rPr>
      <t>年度</t>
    </r>
    <rPh sb="0" eb="2">
      <t>ネンド</t>
    </rPh>
    <phoneticPr fontId="5"/>
  </si>
  <si>
    <r>
      <rPr>
        <sz val="10"/>
        <rFont val="ＭＳ Ｐゴシック"/>
        <family val="3"/>
        <charset val="128"/>
      </rPr>
      <t>計</t>
    </r>
    <phoneticPr fontId="5"/>
  </si>
  <si>
    <r>
      <rPr>
        <sz val="10"/>
        <color theme="1"/>
        <rFont val="ＭＳ Ｐゴシック"/>
        <family val="3"/>
        <charset val="128"/>
      </rPr>
      <t>円</t>
    </r>
    <rPh sb="0" eb="1">
      <t>エン</t>
    </rPh>
    <phoneticPr fontId="5"/>
  </si>
  <si>
    <r>
      <rPr>
        <sz val="10"/>
        <color theme="0"/>
        <rFont val="ＭＳ Ｐゴシック"/>
        <family val="3"/>
        <charset val="128"/>
      </rPr>
      <t>収入計</t>
    </r>
    <rPh sb="0" eb="2">
      <t>シュウニュウ</t>
    </rPh>
    <rPh sb="2" eb="3">
      <t>ケイ</t>
    </rPh>
    <phoneticPr fontId="5"/>
  </si>
  <si>
    <r>
      <rPr>
        <sz val="10"/>
        <color theme="0"/>
        <rFont val="ＭＳ Ｐゴシック"/>
        <family val="3"/>
        <charset val="128"/>
      </rPr>
      <t>円</t>
    </r>
    <rPh sb="0" eb="1">
      <t>エン</t>
    </rPh>
    <phoneticPr fontId="5"/>
  </si>
  <si>
    <t>変動費</t>
    <rPh sb="0" eb="2">
      <t>ヘンドウ</t>
    </rPh>
    <rPh sb="2" eb="3">
      <t>ヒ</t>
    </rPh>
    <phoneticPr fontId="4"/>
  </si>
  <si>
    <t>固定費</t>
    <rPh sb="0" eb="3">
      <t>コテイヒ</t>
    </rPh>
    <phoneticPr fontId="4"/>
  </si>
  <si>
    <r>
      <rPr>
        <b/>
        <sz val="10"/>
        <color theme="0"/>
        <rFont val="ＭＳ Ｐゴシック"/>
        <family val="3"/>
        <charset val="128"/>
      </rPr>
      <t>円</t>
    </r>
    <rPh sb="0" eb="1">
      <t>エン</t>
    </rPh>
    <phoneticPr fontId="5"/>
  </si>
  <si>
    <r>
      <rPr>
        <sz val="10"/>
        <rFont val="ＭＳ Ｐゴシック"/>
        <family val="3"/>
        <charset val="128"/>
      </rPr>
      <t>経済性計算</t>
    </r>
    <rPh sb="0" eb="3">
      <t>ケイザイセイ</t>
    </rPh>
    <rPh sb="3" eb="5">
      <t>ケイサン</t>
    </rPh>
    <phoneticPr fontId="5"/>
  </si>
  <si>
    <r>
      <rPr>
        <sz val="10"/>
        <color theme="1"/>
        <rFont val="ＭＳ Ｐゴシック"/>
        <family val="3"/>
        <charset val="128"/>
      </rPr>
      <t>年度</t>
    </r>
    <rPh sb="0" eb="2">
      <t>ネンド</t>
    </rPh>
    <phoneticPr fontId="5"/>
  </si>
  <si>
    <t>Equity IRR</t>
    <phoneticPr fontId="5"/>
  </si>
  <si>
    <r>
      <rPr>
        <sz val="10"/>
        <rFont val="ＭＳ Ｐゴシック"/>
        <family val="3"/>
        <charset val="128"/>
      </rPr>
      <t>税後</t>
    </r>
    <r>
      <rPr>
        <sz val="10"/>
        <color theme="1"/>
        <rFont val="Arial"/>
        <family val="2"/>
      </rPr>
      <t>NET</t>
    </r>
    <r>
      <rPr>
        <sz val="10"/>
        <rFont val="ＭＳ Ｐゴシック"/>
        <family val="3"/>
        <charset val="128"/>
      </rPr>
      <t>キャッシュフロー</t>
    </r>
    <rPh sb="0" eb="1">
      <t>ゼイ</t>
    </rPh>
    <rPh sb="1" eb="2">
      <t>ゴ</t>
    </rPh>
    <phoneticPr fontId="5"/>
  </si>
  <si>
    <r>
      <t>Free Cash</t>
    </r>
    <r>
      <rPr>
        <sz val="10"/>
        <rFont val="ＭＳ Ｐゴシック"/>
        <family val="3"/>
        <charset val="128"/>
      </rPr>
      <t>　累計</t>
    </r>
    <rPh sb="10" eb="12">
      <t>ルイケイ</t>
    </rPh>
    <phoneticPr fontId="5"/>
  </si>
  <si>
    <r>
      <rPr>
        <sz val="10"/>
        <rFont val="ＭＳ Ｐゴシック"/>
        <family val="3"/>
        <charset val="128"/>
      </rPr>
      <t>配当可能</t>
    </r>
    <r>
      <rPr>
        <sz val="10"/>
        <color theme="1"/>
        <rFont val="Arial"/>
        <family val="2"/>
      </rPr>
      <t>Cash</t>
    </r>
    <rPh sb="0" eb="2">
      <t>ハイトウ</t>
    </rPh>
    <rPh sb="2" eb="3">
      <t>カ</t>
    </rPh>
    <rPh sb="3" eb="4">
      <t>ノウ</t>
    </rPh>
    <phoneticPr fontId="5"/>
  </si>
  <si>
    <r>
      <t>Equity</t>
    </r>
    <r>
      <rPr>
        <sz val="10"/>
        <rFont val="HGPｺﾞｼｯｸE"/>
        <family val="3"/>
        <charset val="128"/>
      </rPr>
      <t>　</t>
    </r>
    <r>
      <rPr>
        <sz val="10"/>
        <color theme="1"/>
        <rFont val="Arial"/>
        <family val="2"/>
      </rPr>
      <t>IRR</t>
    </r>
    <phoneticPr fontId="5"/>
  </si>
  <si>
    <r>
      <rPr>
        <sz val="10"/>
        <rFont val="ＭＳ Ｐゴシック"/>
        <family val="3"/>
        <charset val="128"/>
      </rPr>
      <t>返済可能資金</t>
    </r>
    <rPh sb="0" eb="2">
      <t>ヘンサイ</t>
    </rPh>
    <rPh sb="2" eb="4">
      <t>カノウ</t>
    </rPh>
    <rPh sb="4" eb="6">
      <t>シキン</t>
    </rPh>
    <phoneticPr fontId="5"/>
  </si>
  <si>
    <r>
      <rPr>
        <sz val="10"/>
        <rFont val="ＭＳ Ｐゴシック"/>
        <family val="3"/>
        <charset val="128"/>
      </rPr>
      <t>返済額</t>
    </r>
    <rPh sb="0" eb="2">
      <t>ヘンサイ</t>
    </rPh>
    <rPh sb="2" eb="3">
      <t>ガク</t>
    </rPh>
    <phoneticPr fontId="5"/>
  </si>
  <si>
    <t>DSCR</t>
    <phoneticPr fontId="5"/>
  </si>
  <si>
    <t>Average DSCR</t>
    <phoneticPr fontId="5"/>
  </si>
  <si>
    <r>
      <rPr>
        <sz val="10"/>
        <rFont val="ＭＳ Ｐゴシック"/>
        <family val="3"/>
        <charset val="128"/>
      </rPr>
      <t>年度</t>
    </r>
    <phoneticPr fontId="5"/>
  </si>
  <si>
    <t>Project IRR</t>
    <phoneticPr fontId="5"/>
  </si>
  <si>
    <r>
      <t>Net Equity Free</t>
    </r>
    <r>
      <rPr>
        <sz val="10"/>
        <rFont val="HGPｺﾞｼｯｸE"/>
        <family val="3"/>
        <charset val="128"/>
      </rPr>
      <t>　</t>
    </r>
    <r>
      <rPr>
        <sz val="10"/>
        <color theme="1"/>
        <rFont val="Arial"/>
        <family val="2"/>
      </rPr>
      <t>Cash Flow</t>
    </r>
    <phoneticPr fontId="5"/>
  </si>
  <si>
    <t>売電価格</t>
    <rPh sb="0" eb="4">
      <t>バイデンカカク</t>
    </rPh>
    <phoneticPr fontId="4"/>
  </si>
  <si>
    <t>売電収入</t>
    <rPh sb="0" eb="4">
      <t>バイデンシュウニュウ</t>
    </rPh>
    <phoneticPr fontId="4"/>
  </si>
  <si>
    <t>　売電量</t>
    <rPh sb="1" eb="4">
      <t>バイデンリョウ</t>
    </rPh>
    <phoneticPr fontId="4"/>
  </si>
  <si>
    <t>　売電価格</t>
    <rPh sb="1" eb="5">
      <t>バイデンカカク</t>
    </rPh>
    <phoneticPr fontId="4"/>
  </si>
  <si>
    <t>　発電量</t>
    <rPh sb="1" eb="3">
      <t>ハツデン</t>
    </rPh>
    <rPh sb="3" eb="4">
      <t>リョウ</t>
    </rPh>
    <phoneticPr fontId="4"/>
  </si>
  <si>
    <t>%</t>
    <phoneticPr fontId="4"/>
  </si>
  <si>
    <t>円</t>
    <rPh sb="0" eb="1">
      <t>エン</t>
    </rPh>
    <phoneticPr fontId="4"/>
  </si>
  <si>
    <r>
      <t>kWh/</t>
    </r>
    <r>
      <rPr>
        <sz val="10"/>
        <color theme="1"/>
        <rFont val="ＭＳ Ｐゴシック"/>
        <family val="3"/>
        <charset val="128"/>
      </rPr>
      <t>年</t>
    </r>
    <rPh sb="4" eb="5">
      <t>ネン</t>
    </rPh>
    <phoneticPr fontId="4"/>
  </si>
  <si>
    <t>売熱収入</t>
    <rPh sb="0" eb="1">
      <t>バイ</t>
    </rPh>
    <rPh sb="1" eb="2">
      <t>ネツ</t>
    </rPh>
    <rPh sb="2" eb="4">
      <t>シュウニュウ</t>
    </rPh>
    <phoneticPr fontId="4"/>
  </si>
  <si>
    <t>　売熱量</t>
    <rPh sb="1" eb="2">
      <t>ウ</t>
    </rPh>
    <rPh sb="2" eb="4">
      <t>ネツリョウ</t>
    </rPh>
    <phoneticPr fontId="4"/>
  </si>
  <si>
    <t>　売熱価格</t>
    <rPh sb="1" eb="2">
      <t>ウ</t>
    </rPh>
    <rPh sb="2" eb="5">
      <t>ネツカカク</t>
    </rPh>
    <phoneticPr fontId="4"/>
  </si>
  <si>
    <t>売熱価格</t>
    <rPh sb="0" eb="1">
      <t>ウ</t>
    </rPh>
    <rPh sb="1" eb="2">
      <t>ネツ</t>
    </rPh>
    <rPh sb="2" eb="4">
      <t>カカク</t>
    </rPh>
    <phoneticPr fontId="4"/>
  </si>
  <si>
    <r>
      <rPr>
        <sz val="10"/>
        <color theme="1"/>
        <rFont val="ＭＳ Ｐゴシック"/>
        <family val="3"/>
        <charset val="128"/>
      </rPr>
      <t>円</t>
    </r>
    <r>
      <rPr>
        <sz val="10"/>
        <color theme="1"/>
        <rFont val="Arial"/>
        <family val="2"/>
      </rPr>
      <t>/kWh</t>
    </r>
    <rPh sb="0" eb="1">
      <t>エン</t>
    </rPh>
    <phoneticPr fontId="4"/>
  </si>
  <si>
    <t>バイオマス調達費</t>
    <rPh sb="5" eb="7">
      <t>チョウタツ</t>
    </rPh>
    <rPh sb="7" eb="8">
      <t>ヒ</t>
    </rPh>
    <phoneticPr fontId="4"/>
  </si>
  <si>
    <t>設備費用</t>
    <rPh sb="0" eb="4">
      <t>セツビヒヨウ</t>
    </rPh>
    <phoneticPr fontId="5"/>
  </si>
  <si>
    <t>円</t>
    <rPh sb="0" eb="1">
      <t>エン</t>
    </rPh>
    <phoneticPr fontId="4"/>
  </si>
  <si>
    <t>固定資産税</t>
    <rPh sb="0" eb="5">
      <t>コテイシサンゼイ</t>
    </rPh>
    <phoneticPr fontId="4"/>
  </si>
  <si>
    <t>操業費</t>
    <rPh sb="0" eb="2">
      <t>ソウギョウ</t>
    </rPh>
    <rPh sb="2" eb="3">
      <t>ヒ</t>
    </rPh>
    <phoneticPr fontId="5"/>
  </si>
  <si>
    <t>EBITDA（税引前・利払前・償却前利益）</t>
    <rPh sb="7" eb="10">
      <t>ゼイビキマエ</t>
    </rPh>
    <rPh sb="11" eb="13">
      <t>リバラ</t>
    </rPh>
    <rPh sb="13" eb="14">
      <t>マエ</t>
    </rPh>
    <rPh sb="15" eb="18">
      <t>ショウキャクマエ</t>
    </rPh>
    <rPh sb="18" eb="20">
      <t>リエキ</t>
    </rPh>
    <phoneticPr fontId="4"/>
  </si>
  <si>
    <t>EBT（税引前利益）</t>
    <rPh sb="4" eb="7">
      <t>ゼイビキマエ</t>
    </rPh>
    <rPh sb="7" eb="9">
      <t>リエキ</t>
    </rPh>
    <phoneticPr fontId="4"/>
  </si>
  <si>
    <t>減価償却費</t>
    <rPh sb="0" eb="5">
      <t>ゲンカショウキャクヒ</t>
    </rPh>
    <phoneticPr fontId="4"/>
  </si>
  <si>
    <t>金利支払</t>
    <rPh sb="0" eb="4">
      <t>キンリシハラ</t>
    </rPh>
    <phoneticPr fontId="4"/>
  </si>
  <si>
    <t>期初の繰越利益</t>
    <rPh sb="0" eb="2">
      <t>キショ</t>
    </rPh>
    <rPh sb="3" eb="5">
      <t>クリコシ</t>
    </rPh>
    <rPh sb="5" eb="7">
      <t>リエキ</t>
    </rPh>
    <phoneticPr fontId="4"/>
  </si>
  <si>
    <t>期末の利益</t>
    <rPh sb="0" eb="2">
      <t>キマツ</t>
    </rPh>
    <rPh sb="3" eb="5">
      <t>リエキ</t>
    </rPh>
    <phoneticPr fontId="4"/>
  </si>
  <si>
    <t>営業キャッシュフロー</t>
    <rPh sb="0" eb="2">
      <t>エイギョウ</t>
    </rPh>
    <phoneticPr fontId="4"/>
  </si>
  <si>
    <t>投資キャッシュフロー</t>
    <rPh sb="0" eb="2">
      <t>トウシ</t>
    </rPh>
    <phoneticPr fontId="4"/>
  </si>
  <si>
    <t>財務キャッシュフロー</t>
    <rPh sb="0" eb="2">
      <t>ザイム</t>
    </rPh>
    <phoneticPr fontId="4"/>
  </si>
  <si>
    <t>　補助金</t>
    <rPh sb="1" eb="4">
      <t>ホジョキン</t>
    </rPh>
    <phoneticPr fontId="4"/>
  </si>
  <si>
    <t>　借入金</t>
    <rPh sb="1" eb="3">
      <t>シャクニュウ</t>
    </rPh>
    <rPh sb="3" eb="4">
      <t>キン</t>
    </rPh>
    <phoneticPr fontId="4"/>
  </si>
  <si>
    <t>　配当金支払</t>
    <rPh sb="1" eb="6">
      <t>ハイトウキンシハラ</t>
    </rPh>
    <phoneticPr fontId="4"/>
  </si>
  <si>
    <t>キャッシュ増減</t>
    <rPh sb="5" eb="7">
      <t>ゾウゲン</t>
    </rPh>
    <phoneticPr fontId="4"/>
  </si>
  <si>
    <t>初期投資費用</t>
    <rPh sb="0" eb="6">
      <t>ショキトウシヒヨウ</t>
    </rPh>
    <phoneticPr fontId="5"/>
  </si>
  <si>
    <t>税引後利益</t>
    <rPh sb="0" eb="2">
      <t>ゼイビ</t>
    </rPh>
    <rPh sb="2" eb="3">
      <t>ゴ</t>
    </rPh>
    <rPh sb="3" eb="5">
      <t>リエキ</t>
    </rPh>
    <phoneticPr fontId="4"/>
  </si>
  <si>
    <r>
      <rPr>
        <sz val="10"/>
        <rFont val="ＭＳ Ｐゴシック"/>
        <family val="3"/>
        <charset val="128"/>
      </rPr>
      <t>円</t>
    </r>
    <rPh sb="0" eb="1">
      <t>エン</t>
    </rPh>
    <phoneticPr fontId="5"/>
  </si>
  <si>
    <r>
      <t>Project</t>
    </r>
    <r>
      <rPr>
        <sz val="10"/>
        <rFont val="HGPｺﾞｼｯｸE"/>
        <family val="3"/>
        <charset val="128"/>
      </rPr>
      <t>　</t>
    </r>
    <r>
      <rPr>
        <sz val="10"/>
        <color theme="1"/>
        <rFont val="Arial"/>
        <family val="2"/>
      </rPr>
      <t>IRR</t>
    </r>
    <phoneticPr fontId="5"/>
  </si>
  <si>
    <t>営業キャッシュフロー</t>
    <rPh sb="0" eb="2">
      <t>エイギョウ</t>
    </rPh>
    <phoneticPr fontId="5"/>
  </si>
  <si>
    <t>スポンサーによる出資額</t>
  </si>
  <si>
    <t>補助金</t>
    <rPh sb="0" eb="3">
      <t>ホジョキン</t>
    </rPh>
    <phoneticPr fontId="4"/>
  </si>
  <si>
    <t>合計</t>
    <rPh sb="0" eb="2">
      <t>ゴウケイ</t>
    </rPh>
    <phoneticPr fontId="4"/>
  </si>
  <si>
    <t>kWh/年</t>
    <rPh sb="4" eb="5">
      <t>ネン</t>
    </rPh>
    <phoneticPr fontId="4"/>
  </si>
  <si>
    <t>円</t>
    <rPh sb="0" eb="1">
      <t>エン</t>
    </rPh>
    <phoneticPr fontId="4"/>
  </si>
  <si>
    <t>　源泉所得税率（復興特別所得税考慮）</t>
    <rPh sb="1" eb="6">
      <t>ゲンセンショトクゼイ</t>
    </rPh>
    <rPh sb="6" eb="7">
      <t>リツ</t>
    </rPh>
    <rPh sb="8" eb="10">
      <t>フッコウ</t>
    </rPh>
    <rPh sb="10" eb="12">
      <t>トクベツ</t>
    </rPh>
    <rPh sb="12" eb="15">
      <t>ショトクゼイ</t>
    </rPh>
    <rPh sb="15" eb="17">
      <t>コウリョ</t>
    </rPh>
    <phoneticPr fontId="4"/>
  </si>
  <si>
    <t>源泉所得税（復興特別所得税考慮）</t>
    <rPh sb="0" eb="5">
      <t>ゲンセンショトクゼイ</t>
    </rPh>
    <rPh sb="6" eb="8">
      <t>フッコウ</t>
    </rPh>
    <rPh sb="8" eb="10">
      <t>トクベツ</t>
    </rPh>
    <rPh sb="10" eb="13">
      <t>ショトクゼイ</t>
    </rPh>
    <rPh sb="13" eb="15">
      <t>コウリョ</t>
    </rPh>
    <phoneticPr fontId="4"/>
  </si>
  <si>
    <t>Ⅰ．営業収支</t>
    <rPh sb="2" eb="4">
      <t>エイギョウ</t>
    </rPh>
    <phoneticPr fontId="4"/>
  </si>
  <si>
    <t>Ⅱ．営業外収支</t>
    <rPh sb="2" eb="4">
      <t>エイギョウ</t>
    </rPh>
    <rPh sb="4" eb="5">
      <t>ガイ</t>
    </rPh>
    <phoneticPr fontId="4"/>
  </si>
  <si>
    <t>信用状発行手数料</t>
    <rPh sb="0" eb="3">
      <t>シンヨウジョウ</t>
    </rPh>
    <rPh sb="3" eb="5">
      <t>ハッコウ</t>
    </rPh>
    <rPh sb="5" eb="6">
      <t>テ</t>
    </rPh>
    <phoneticPr fontId="4"/>
  </si>
  <si>
    <t>%</t>
    <phoneticPr fontId="4"/>
  </si>
  <si>
    <t>　信用状発行手数料(%)</t>
    <rPh sb="1" eb="4">
      <t>シンヨウジョウ</t>
    </rPh>
    <rPh sb="4" eb="9">
      <t>ハッコウテスウリョウ</t>
    </rPh>
    <phoneticPr fontId="4"/>
  </si>
  <si>
    <t>　積立要求金額</t>
    <rPh sb="1" eb="7">
      <t>ツミタテヨウキュウキンガク</t>
    </rPh>
    <phoneticPr fontId="4"/>
  </si>
  <si>
    <t>-</t>
    <phoneticPr fontId="4"/>
  </si>
  <si>
    <t>固定資産残存額</t>
    <rPh sb="0" eb="2">
      <t>コテイ</t>
    </rPh>
    <rPh sb="2" eb="4">
      <t>シサン</t>
    </rPh>
    <rPh sb="4" eb="6">
      <t>ザンゾン</t>
    </rPh>
    <rPh sb="6" eb="7">
      <t>ガク</t>
    </rPh>
    <phoneticPr fontId="5"/>
  </si>
  <si>
    <t>　　1年前に生じた繰越欠損金額の期初残高</t>
    <rPh sb="3" eb="5">
      <t>ネンマエ</t>
    </rPh>
    <rPh sb="6" eb="7">
      <t>ショウ</t>
    </rPh>
    <rPh sb="9" eb="15">
      <t>クリコシケッソンキンガク</t>
    </rPh>
    <rPh sb="16" eb="18">
      <t>キショ</t>
    </rPh>
    <rPh sb="18" eb="20">
      <t>ザンダカ</t>
    </rPh>
    <phoneticPr fontId="4"/>
  </si>
  <si>
    <t>　　欠損金の控除額</t>
    <rPh sb="2" eb="5">
      <t>ケッソンキン</t>
    </rPh>
    <rPh sb="6" eb="9">
      <t>コウジョガク</t>
    </rPh>
    <phoneticPr fontId="4"/>
  </si>
  <si>
    <t>　　1年前に生じた繰越欠損金額の期末残高</t>
    <rPh sb="3" eb="5">
      <t>ネンマエ</t>
    </rPh>
    <rPh sb="6" eb="7">
      <t>ショウ</t>
    </rPh>
    <rPh sb="9" eb="15">
      <t>クリコシケッソンキンガク</t>
    </rPh>
    <rPh sb="16" eb="18">
      <t>キマツ</t>
    </rPh>
    <rPh sb="18" eb="20">
      <t>ザンダカ</t>
    </rPh>
    <phoneticPr fontId="4"/>
  </si>
  <si>
    <t>　　2年前に生じた繰越欠損金額の期初残高</t>
    <rPh sb="3" eb="5">
      <t>ネンマエ</t>
    </rPh>
    <rPh sb="6" eb="7">
      <t>ショウ</t>
    </rPh>
    <rPh sb="9" eb="15">
      <t>クリコシケッソンキンガク</t>
    </rPh>
    <rPh sb="16" eb="18">
      <t>キショ</t>
    </rPh>
    <rPh sb="18" eb="20">
      <t>ザンダカ</t>
    </rPh>
    <phoneticPr fontId="4"/>
  </si>
  <si>
    <t>　　2年前に生じた繰越欠損金額の期末残高</t>
    <rPh sb="3" eb="5">
      <t>ネンマエ</t>
    </rPh>
    <rPh sb="6" eb="7">
      <t>ショウ</t>
    </rPh>
    <rPh sb="9" eb="15">
      <t>クリコシケッソンキンガク</t>
    </rPh>
    <rPh sb="16" eb="18">
      <t>キマツ</t>
    </rPh>
    <rPh sb="18" eb="20">
      <t>ザンダカ</t>
    </rPh>
    <phoneticPr fontId="4"/>
  </si>
  <si>
    <t>　　3年前に生じた繰越欠損金額の期初残高</t>
    <rPh sb="3" eb="5">
      <t>ネンマエ</t>
    </rPh>
    <rPh sb="6" eb="7">
      <t>ショウ</t>
    </rPh>
    <rPh sb="9" eb="15">
      <t>クリコシケッソンキンガク</t>
    </rPh>
    <rPh sb="16" eb="18">
      <t>キショ</t>
    </rPh>
    <rPh sb="18" eb="20">
      <t>ザンダカ</t>
    </rPh>
    <phoneticPr fontId="4"/>
  </si>
  <si>
    <t>　　3年前に生じた繰越欠損金額の期末残高</t>
    <rPh sb="3" eb="5">
      <t>ネンマエ</t>
    </rPh>
    <rPh sb="6" eb="7">
      <t>ショウ</t>
    </rPh>
    <rPh sb="9" eb="15">
      <t>クリコシケッソンキンガク</t>
    </rPh>
    <rPh sb="16" eb="18">
      <t>キマツ</t>
    </rPh>
    <rPh sb="18" eb="20">
      <t>ザンダカ</t>
    </rPh>
    <phoneticPr fontId="4"/>
  </si>
  <si>
    <t>減価償却価格</t>
    <rPh sb="0" eb="4">
      <t>ゲンカショウキャク</t>
    </rPh>
    <rPh sb="4" eb="6">
      <t>カカク</t>
    </rPh>
    <phoneticPr fontId="4"/>
  </si>
  <si>
    <t>　　4年前に生じた繰越欠損金額の期初残高</t>
    <rPh sb="3" eb="5">
      <t>ネンマエ</t>
    </rPh>
    <rPh sb="6" eb="7">
      <t>ショウ</t>
    </rPh>
    <rPh sb="9" eb="15">
      <t>クリコシケッソンキンガク</t>
    </rPh>
    <rPh sb="16" eb="18">
      <t>キショ</t>
    </rPh>
    <rPh sb="18" eb="20">
      <t>ザンダカ</t>
    </rPh>
    <phoneticPr fontId="4"/>
  </si>
  <si>
    <t>　　4年前に生じた繰越欠損金額の期末残高</t>
    <rPh sb="3" eb="5">
      <t>ネンマエ</t>
    </rPh>
    <rPh sb="6" eb="7">
      <t>ショウ</t>
    </rPh>
    <rPh sb="9" eb="15">
      <t>クリコシケッソンキンガク</t>
    </rPh>
    <rPh sb="16" eb="18">
      <t>キマツ</t>
    </rPh>
    <rPh sb="18" eb="20">
      <t>ザンダカ</t>
    </rPh>
    <phoneticPr fontId="4"/>
  </si>
  <si>
    <t>　　5年前に生じた繰越欠損金額の期初残高</t>
    <rPh sb="3" eb="5">
      <t>ネンマエ</t>
    </rPh>
    <rPh sb="6" eb="7">
      <t>ショウ</t>
    </rPh>
    <rPh sb="9" eb="15">
      <t>クリコシケッソンキンガク</t>
    </rPh>
    <rPh sb="16" eb="18">
      <t>キショ</t>
    </rPh>
    <rPh sb="18" eb="20">
      <t>ザンダカ</t>
    </rPh>
    <phoneticPr fontId="4"/>
  </si>
  <si>
    <t>　　5年前に生じた繰越欠損金額の期末残高</t>
    <rPh sb="3" eb="5">
      <t>ネンマエ</t>
    </rPh>
    <rPh sb="6" eb="7">
      <t>ショウ</t>
    </rPh>
    <rPh sb="9" eb="15">
      <t>クリコシケッソンキンガク</t>
    </rPh>
    <rPh sb="16" eb="18">
      <t>キマツ</t>
    </rPh>
    <rPh sb="18" eb="20">
      <t>ザンダカ</t>
    </rPh>
    <phoneticPr fontId="4"/>
  </si>
  <si>
    <t>　当年初繰越欠損金合計金額</t>
    <rPh sb="1" eb="2">
      <t>トウ</t>
    </rPh>
    <rPh sb="2" eb="4">
      <t>ネンショ</t>
    </rPh>
    <rPh sb="4" eb="9">
      <t>クリコシケッソンキン</t>
    </rPh>
    <rPh sb="9" eb="13">
      <t>ゴウケイキンガク</t>
    </rPh>
    <phoneticPr fontId="4"/>
  </si>
  <si>
    <t>　当年課税所得</t>
    <rPh sb="1" eb="3">
      <t>トウネン</t>
    </rPh>
    <rPh sb="3" eb="5">
      <t>カゼイ</t>
    </rPh>
    <rPh sb="5" eb="7">
      <t>ショトク</t>
    </rPh>
    <phoneticPr fontId="4"/>
  </si>
  <si>
    <t>　当年欠損額</t>
    <rPh sb="1" eb="3">
      <t>トウネン</t>
    </rPh>
    <rPh sb="3" eb="6">
      <t>ケッソンガク</t>
    </rPh>
    <phoneticPr fontId="4"/>
  </si>
  <si>
    <t>　当年繰越欠損金繰戻額</t>
    <rPh sb="1" eb="3">
      <t>トウネン</t>
    </rPh>
    <rPh sb="3" eb="5">
      <t>クリコシ</t>
    </rPh>
    <rPh sb="5" eb="8">
      <t>ケッソンキン</t>
    </rPh>
    <rPh sb="8" eb="9">
      <t>ク</t>
    </rPh>
    <rPh sb="9" eb="10">
      <t>モド</t>
    </rPh>
    <rPh sb="10" eb="11">
      <t>ガク</t>
    </rPh>
    <phoneticPr fontId="4"/>
  </si>
  <si>
    <t>　当年末繰越欠損金合計金額</t>
    <rPh sb="1" eb="2">
      <t>トウ</t>
    </rPh>
    <rPh sb="2" eb="4">
      <t>ネンマツ</t>
    </rPh>
    <rPh sb="4" eb="6">
      <t>クリコシ</t>
    </rPh>
    <rPh sb="6" eb="9">
      <t>ケッソンキン</t>
    </rPh>
    <rPh sb="9" eb="11">
      <t>ゴウケイ</t>
    </rPh>
    <rPh sb="11" eb="13">
      <t>キンガク</t>
    </rPh>
    <phoneticPr fontId="4"/>
  </si>
  <si>
    <t>-</t>
    <phoneticPr fontId="4"/>
  </si>
  <si>
    <t>　繰越欠損金考慮後の課税所得</t>
    <rPh sb="1" eb="3">
      <t>クリコシ</t>
    </rPh>
    <rPh sb="3" eb="6">
      <t>ケッソンキン</t>
    </rPh>
    <rPh sb="6" eb="8">
      <t>コウリョ</t>
    </rPh>
    <rPh sb="8" eb="9">
      <t>ゴ</t>
    </rPh>
    <rPh sb="10" eb="12">
      <t>カゼイ</t>
    </rPh>
    <rPh sb="12" eb="14">
      <t>ショトク</t>
    </rPh>
    <phoneticPr fontId="4"/>
  </si>
  <si>
    <t>法人税(定率考慮なし）</t>
    <rPh sb="4" eb="6">
      <t>テイリツ</t>
    </rPh>
    <rPh sb="6" eb="8">
      <t>コウリョ</t>
    </rPh>
    <phoneticPr fontId="4"/>
  </si>
  <si>
    <t>損益計算書</t>
    <rPh sb="0" eb="2">
      <t>ソンエキ</t>
    </rPh>
    <rPh sb="2" eb="5">
      <t>ケイサンショ</t>
    </rPh>
    <phoneticPr fontId="5"/>
  </si>
  <si>
    <t>キャッシュフロー計算書</t>
    <rPh sb="8" eb="11">
      <t>ケイサンショ</t>
    </rPh>
    <phoneticPr fontId="5"/>
  </si>
  <si>
    <t>　売電利益</t>
    <rPh sb="1" eb="3">
      <t>バイデン</t>
    </rPh>
    <rPh sb="3" eb="5">
      <t>リエキ</t>
    </rPh>
    <phoneticPr fontId="4"/>
  </si>
  <si>
    <t>　売熱利益</t>
    <rPh sb="1" eb="5">
      <t>バイネツリエキ</t>
    </rPh>
    <phoneticPr fontId="4"/>
  </si>
  <si>
    <t>　燃料コスト</t>
    <rPh sb="1" eb="3">
      <t>ネンリョウ</t>
    </rPh>
    <phoneticPr fontId="4"/>
  </si>
  <si>
    <t>　操業コスト</t>
    <rPh sb="1" eb="3">
      <t>ソウギョウ</t>
    </rPh>
    <phoneticPr fontId="4"/>
  </si>
  <si>
    <t xml:space="preserve">  元利合計支払額（源泉徴収税含む）</t>
    <rPh sb="2" eb="4">
      <t>ガンリ</t>
    </rPh>
    <rPh sb="4" eb="6">
      <t>ゴウケイ</t>
    </rPh>
    <rPh sb="6" eb="8">
      <t>シハライ</t>
    </rPh>
    <rPh sb="8" eb="9">
      <t>ガク</t>
    </rPh>
    <rPh sb="10" eb="12">
      <t>ゲンセン</t>
    </rPh>
    <rPh sb="12" eb="14">
      <t>チョウシュウ</t>
    </rPh>
    <rPh sb="14" eb="15">
      <t>ゼイ</t>
    </rPh>
    <rPh sb="15" eb="16">
      <t>フク</t>
    </rPh>
    <phoneticPr fontId="4"/>
  </si>
  <si>
    <t>　準備講座へのキャッシュ充当額</t>
    <rPh sb="1" eb="5">
      <t>ジュンビコウザ</t>
    </rPh>
    <rPh sb="12" eb="15">
      <t>ジュウトウガク</t>
    </rPh>
    <phoneticPr fontId="4"/>
  </si>
  <si>
    <t>　信用状発行手数料</t>
    <rPh sb="1" eb="9">
      <t>シンヨウジョウハッコウテスウリョウ</t>
    </rPh>
    <phoneticPr fontId="4"/>
  </si>
  <si>
    <t>　法人税・固定資産税</t>
    <rPh sb="1" eb="4">
      <t>ホウジンゼイ</t>
    </rPh>
    <rPh sb="5" eb="10">
      <t>コテイシサンゼイ</t>
    </rPh>
    <phoneticPr fontId="4"/>
  </si>
  <si>
    <t>期初現金残高</t>
    <rPh sb="0" eb="6">
      <t>キショゲンキンザンダカ</t>
    </rPh>
    <phoneticPr fontId="4"/>
  </si>
  <si>
    <t>期末現金残高</t>
    <rPh sb="0" eb="6">
      <t>キマツゲンキンザンダカ</t>
    </rPh>
    <phoneticPr fontId="4"/>
  </si>
  <si>
    <t>期末借入金残高</t>
    <rPh sb="0" eb="2">
      <t>キマツ</t>
    </rPh>
    <phoneticPr fontId="5"/>
  </si>
  <si>
    <t>プロジェクトにおけるＮＥＴキャッシュフロー</t>
    <phoneticPr fontId="5"/>
  </si>
  <si>
    <r>
      <t>DSCR</t>
    </r>
    <r>
      <rPr>
        <sz val="10"/>
        <rFont val="ＭＳ Ｐゴシック"/>
        <family val="3"/>
        <charset val="128"/>
      </rPr>
      <t>計算</t>
    </r>
    <rPh sb="4" eb="6">
      <t>ケイサン</t>
    </rPh>
    <phoneticPr fontId="5"/>
  </si>
  <si>
    <t>発電量</t>
    <rPh sb="0" eb="3">
      <t>ハツデンリョウ</t>
    </rPh>
    <phoneticPr fontId="5"/>
  </si>
  <si>
    <t>合計</t>
    <rPh sb="0" eb="2">
      <t>ゴウケイ</t>
    </rPh>
    <phoneticPr fontId="5"/>
  </si>
  <si>
    <t>燃料費</t>
    <rPh sb="0" eb="3">
      <t>ネンリョウヒ</t>
    </rPh>
    <phoneticPr fontId="5"/>
  </si>
  <si>
    <t>固定資産税等</t>
    <rPh sb="0" eb="5">
      <t>コテイシサンゼイ</t>
    </rPh>
    <rPh sb="5" eb="6">
      <t>ナド</t>
    </rPh>
    <phoneticPr fontId="5"/>
  </si>
  <si>
    <t>費目</t>
    <rPh sb="0" eb="2">
      <t>ヒモク</t>
    </rPh>
    <phoneticPr fontId="5"/>
  </si>
  <si>
    <t>定格出力</t>
    <rPh sb="0" eb="4">
      <t>テイカクシュツリョク</t>
    </rPh>
    <phoneticPr fontId="5"/>
  </si>
  <si>
    <t>設備利用率</t>
    <rPh sb="0" eb="5">
      <t>セツビリヨウリツ</t>
    </rPh>
    <phoneticPr fontId="5"/>
  </si>
  <si>
    <t>単価</t>
    <rPh sb="0" eb="2">
      <t>タンカ</t>
    </rPh>
    <phoneticPr fontId="5"/>
  </si>
  <si>
    <t>含水率</t>
    <rPh sb="0" eb="3">
      <t>ガンスイリツ</t>
    </rPh>
    <phoneticPr fontId="5"/>
  </si>
  <si>
    <t>トン/年</t>
    <rPh sb="3" eb="4">
      <t>ネン</t>
    </rPh>
    <phoneticPr fontId="5"/>
  </si>
  <si>
    <t>運用費</t>
    <rPh sb="0" eb="3">
      <t>ウンヨウヒ</t>
    </rPh>
    <phoneticPr fontId="5"/>
  </si>
  <si>
    <t>バイオマス⑤</t>
    <phoneticPr fontId="5"/>
  </si>
  <si>
    <t>設備①</t>
    <rPh sb="0" eb="2">
      <t>セツビ</t>
    </rPh>
    <phoneticPr fontId="5"/>
  </si>
  <si>
    <t>残存価値</t>
    <rPh sb="0" eb="4">
      <t>ザンゾンカチ</t>
    </rPh>
    <phoneticPr fontId="5"/>
  </si>
  <si>
    <t>償却期間</t>
    <rPh sb="0" eb="4">
      <t>ショウキャクキカン</t>
    </rPh>
    <phoneticPr fontId="5"/>
  </si>
  <si>
    <t>年</t>
    <rPh sb="0" eb="1">
      <t>ネン</t>
    </rPh>
    <phoneticPr fontId="4"/>
  </si>
  <si>
    <t>設備②</t>
    <rPh sb="0" eb="2">
      <t>セツビ</t>
    </rPh>
    <phoneticPr fontId="5"/>
  </si>
  <si>
    <t>設備③</t>
    <rPh sb="0" eb="2">
      <t>セツビ</t>
    </rPh>
    <phoneticPr fontId="5"/>
  </si>
  <si>
    <t>設備④</t>
    <rPh sb="0" eb="2">
      <t>セツビ</t>
    </rPh>
    <phoneticPr fontId="5"/>
  </si>
  <si>
    <t>設備⑤</t>
    <rPh sb="0" eb="2">
      <t>セツビ</t>
    </rPh>
    <phoneticPr fontId="5"/>
  </si>
  <si>
    <t>設備⑥</t>
    <rPh sb="0" eb="2">
      <t>セツビ</t>
    </rPh>
    <phoneticPr fontId="5"/>
  </si>
  <si>
    <t>設備⑦</t>
    <rPh sb="0" eb="2">
      <t>セツビ</t>
    </rPh>
    <phoneticPr fontId="5"/>
  </si>
  <si>
    <t>借入金・補助金・税率等</t>
    <rPh sb="0" eb="1">
      <t>カ</t>
    </rPh>
    <rPh sb="1" eb="2">
      <t>イ</t>
    </rPh>
    <rPh sb="2" eb="3">
      <t>キン</t>
    </rPh>
    <rPh sb="4" eb="7">
      <t>ホジョキン</t>
    </rPh>
    <rPh sb="8" eb="10">
      <t>ゼイリツ</t>
    </rPh>
    <rPh sb="10" eb="11">
      <t>ナド</t>
    </rPh>
    <phoneticPr fontId="5"/>
  </si>
  <si>
    <t>補助金</t>
    <rPh sb="0" eb="3">
      <t>ホジョキン</t>
    </rPh>
    <phoneticPr fontId="5"/>
  </si>
  <si>
    <t>借入金①</t>
    <rPh sb="0" eb="3">
      <t>カリイレキン</t>
    </rPh>
    <phoneticPr fontId="5"/>
  </si>
  <si>
    <t>金額</t>
    <rPh sb="0" eb="2">
      <t>キンガク</t>
    </rPh>
    <phoneticPr fontId="5"/>
  </si>
  <si>
    <t>返済期間</t>
    <rPh sb="0" eb="4">
      <t>ヘンサイキカン</t>
    </rPh>
    <phoneticPr fontId="5"/>
  </si>
  <si>
    <t>利子</t>
    <rPh sb="0" eb="2">
      <t>リシ</t>
    </rPh>
    <phoneticPr fontId="5"/>
  </si>
  <si>
    <t>年</t>
    <rPh sb="0" eb="1">
      <t>ネン</t>
    </rPh>
    <phoneticPr fontId="5"/>
  </si>
  <si>
    <t>借入金②</t>
    <rPh sb="0" eb="3">
      <t>カリイレキン</t>
    </rPh>
    <phoneticPr fontId="5"/>
  </si>
  <si>
    <t>借入金③</t>
    <rPh sb="0" eb="3">
      <t>カリイレキン</t>
    </rPh>
    <phoneticPr fontId="5"/>
  </si>
  <si>
    <t>固定資産税</t>
    <rPh sb="0" eb="5">
      <t>コテイシサンゼイ</t>
    </rPh>
    <phoneticPr fontId="5"/>
  </si>
  <si>
    <t>税率</t>
    <rPh sb="0" eb="2">
      <t>ゼイリツ</t>
    </rPh>
    <phoneticPr fontId="5"/>
  </si>
  <si>
    <t>バイオマス総投入量</t>
    <rPh sb="5" eb="6">
      <t>ソウ</t>
    </rPh>
    <rPh sb="6" eb="8">
      <t>トウニュウ</t>
    </rPh>
    <rPh sb="8" eb="9">
      <t>リョウ</t>
    </rPh>
    <phoneticPr fontId="5"/>
  </si>
  <si>
    <t>発熱量</t>
    <rPh sb="0" eb="3">
      <t>ハツネツリョウ</t>
    </rPh>
    <phoneticPr fontId="5"/>
  </si>
  <si>
    <t>売電量</t>
    <rPh sb="0" eb="3">
      <t>バイデンリョウ</t>
    </rPh>
    <phoneticPr fontId="5"/>
  </si>
  <si>
    <t>売熱量</t>
    <rPh sb="0" eb="1">
      <t>バイ</t>
    </rPh>
    <rPh sb="1" eb="3">
      <t>ネツリョウ</t>
    </rPh>
    <phoneticPr fontId="5"/>
  </si>
  <si>
    <t>減価償却計算</t>
    <rPh sb="0" eb="4">
      <t>ゲンカショウキャク</t>
    </rPh>
    <rPh sb="4" eb="6">
      <t>ケイサン</t>
    </rPh>
    <phoneticPr fontId="5"/>
  </si>
  <si>
    <t>　償却価格</t>
    <rPh sb="1" eb="5">
      <t>ショウキャクカカク</t>
    </rPh>
    <phoneticPr fontId="5"/>
  </si>
  <si>
    <t>　残存価値</t>
    <rPh sb="1" eb="5">
      <t>ザンゾンカチ</t>
    </rPh>
    <phoneticPr fontId="4"/>
  </si>
  <si>
    <t>借入金計算</t>
    <rPh sb="0" eb="2">
      <t>カリイレ</t>
    </rPh>
    <rPh sb="2" eb="3">
      <t>キン</t>
    </rPh>
    <rPh sb="3" eb="5">
      <t>ケイサン</t>
    </rPh>
    <phoneticPr fontId="5"/>
  </si>
  <si>
    <t>　返済価格</t>
    <rPh sb="1" eb="5">
      <t>ヘンサイカカク</t>
    </rPh>
    <phoneticPr fontId="5"/>
  </si>
  <si>
    <t>　発生金利</t>
    <rPh sb="1" eb="5">
      <t>ハッセイキンリ</t>
    </rPh>
    <phoneticPr fontId="4"/>
  </si>
  <si>
    <r>
      <t>20</t>
    </r>
    <r>
      <rPr>
        <sz val="10"/>
        <color theme="1"/>
        <rFont val="ＭＳ Ｐゴシック"/>
        <family val="3"/>
        <charset val="128"/>
      </rPr>
      <t>年累計</t>
    </r>
    <rPh sb="2" eb="5">
      <t>ネンルイケイ</t>
    </rPh>
    <phoneticPr fontId="4"/>
  </si>
  <si>
    <t>%</t>
    <phoneticPr fontId="5"/>
  </si>
  <si>
    <t>円</t>
    <rPh sb="0" eb="1">
      <t>エン</t>
    </rPh>
    <phoneticPr fontId="4"/>
  </si>
  <si>
    <t>トン/時間</t>
    <rPh sb="3" eb="5">
      <t>ジカン</t>
    </rPh>
    <phoneticPr fontId="5"/>
  </si>
  <si>
    <t>稼働率（直接入力）</t>
    <rPh sb="0" eb="3">
      <t>カドウリツ</t>
    </rPh>
    <rPh sb="4" eb="8">
      <t>チョクセツニュウリョク</t>
    </rPh>
    <phoneticPr fontId="4"/>
  </si>
  <si>
    <t>MWh</t>
    <phoneticPr fontId="4"/>
  </si>
  <si>
    <t>販売価格</t>
    <rPh sb="0" eb="4">
      <t>ハンバイカカク</t>
    </rPh>
    <phoneticPr fontId="5"/>
  </si>
  <si>
    <t>販売量</t>
    <rPh sb="0" eb="3">
      <t>ハンバイリョウ</t>
    </rPh>
    <phoneticPr fontId="5"/>
  </si>
  <si>
    <t>t</t>
    <phoneticPr fontId="4"/>
  </si>
  <si>
    <t>計算方法オプション</t>
    <rPh sb="0" eb="4">
      <t>ケイサンホウホウ</t>
    </rPh>
    <phoneticPr fontId="5"/>
  </si>
  <si>
    <r>
      <t xml:space="preserve">2  </t>
    </r>
    <r>
      <rPr>
        <sz val="10"/>
        <color indexed="8"/>
        <rFont val="ＭＳ Ｐゴシック"/>
        <family val="3"/>
        <charset val="128"/>
      </rPr>
      <t>出力から直接計算</t>
    </r>
    <rPh sb="3" eb="5">
      <t>シュツリョク</t>
    </rPh>
    <rPh sb="7" eb="11">
      <t>チョクセツケイサン</t>
    </rPh>
    <phoneticPr fontId="5"/>
  </si>
  <si>
    <t>　その他利益</t>
    <rPh sb="3" eb="6">
      <t>タリエキ</t>
    </rPh>
    <phoneticPr fontId="4"/>
  </si>
  <si>
    <t>変動費①</t>
    <rPh sb="0" eb="3">
      <t>ヘンドウヒ</t>
    </rPh>
    <phoneticPr fontId="5"/>
  </si>
  <si>
    <t>変動費②</t>
    <rPh sb="0" eb="3">
      <t>ヘンドウヒ</t>
    </rPh>
    <phoneticPr fontId="5"/>
  </si>
  <si>
    <t>変動費③</t>
    <rPh sb="0" eb="3">
      <t>ヘンドウヒ</t>
    </rPh>
    <phoneticPr fontId="5"/>
  </si>
  <si>
    <t>変動費④</t>
    <rPh sb="0" eb="3">
      <t>ヘンドウヒ</t>
    </rPh>
    <phoneticPr fontId="5"/>
  </si>
  <si>
    <t>変動費⑤</t>
    <rPh sb="0" eb="3">
      <t>ヘンドウヒ</t>
    </rPh>
    <phoneticPr fontId="5"/>
  </si>
  <si>
    <t>円</t>
    <rPh sb="0" eb="1">
      <t>エン</t>
    </rPh>
    <phoneticPr fontId="4"/>
  </si>
  <si>
    <t>変動費⑥</t>
    <rPh sb="0" eb="3">
      <t>ヘンドウヒ</t>
    </rPh>
    <phoneticPr fontId="5"/>
  </si>
  <si>
    <t>％</t>
    <phoneticPr fontId="4"/>
  </si>
  <si>
    <t>％</t>
    <phoneticPr fontId="4"/>
  </si>
  <si>
    <t>％</t>
    <phoneticPr fontId="5"/>
  </si>
  <si>
    <t>実効税率</t>
    <rPh sb="0" eb="4">
      <t>ジッコウゼイリツ</t>
    </rPh>
    <phoneticPr fontId="5"/>
  </si>
  <si>
    <t>エネルギー生産量</t>
    <rPh sb="5" eb="8">
      <t>セイサンリョウ</t>
    </rPh>
    <phoneticPr fontId="5"/>
  </si>
  <si>
    <t>kW</t>
  </si>
  <si>
    <t>販売価格</t>
    <rPh sb="0" eb="2">
      <t>ハンバイ</t>
    </rPh>
    <rPh sb="2" eb="4">
      <t>カカク</t>
    </rPh>
    <phoneticPr fontId="5"/>
  </si>
  <si>
    <t>バイオマス調達</t>
    <rPh sb="5" eb="7">
      <t>チョウタツ</t>
    </rPh>
    <phoneticPr fontId="5"/>
  </si>
  <si>
    <t>バイオマス①</t>
    <phoneticPr fontId="5"/>
  </si>
  <si>
    <t>固定費③</t>
    <phoneticPr fontId="5"/>
  </si>
  <si>
    <t>変換効率</t>
    <rPh sb="0" eb="4">
      <t>ヘンカンコウリツ</t>
    </rPh>
    <phoneticPr fontId="4"/>
  </si>
  <si>
    <t>%</t>
    <phoneticPr fontId="4"/>
  </si>
  <si>
    <t>その他収益②</t>
    <rPh sb="2" eb="3">
      <t>タ</t>
    </rPh>
    <rPh sb="3" eb="5">
      <t>シュウエキ</t>
    </rPh>
    <phoneticPr fontId="5"/>
  </si>
  <si>
    <t>その他収益③</t>
    <rPh sb="2" eb="3">
      <t>タ</t>
    </rPh>
    <rPh sb="3" eb="5">
      <t>シュウエキ</t>
    </rPh>
    <phoneticPr fontId="5"/>
  </si>
  <si>
    <t>％</t>
  </si>
  <si>
    <t>バイオマス②</t>
    <phoneticPr fontId="5"/>
  </si>
  <si>
    <t>バイオマス③</t>
    <phoneticPr fontId="5"/>
  </si>
  <si>
    <t>バイオマス④</t>
    <phoneticPr fontId="5"/>
  </si>
  <si>
    <t>固定費④</t>
    <phoneticPr fontId="5"/>
  </si>
  <si>
    <t>所得税</t>
    <rPh sb="0" eb="3">
      <t>ショトクゼイ</t>
    </rPh>
    <phoneticPr fontId="4"/>
  </si>
  <si>
    <r>
      <rPr>
        <sz val="12"/>
        <color indexed="8"/>
        <rFont val="ＭＳ Ｐゴシック"/>
        <family val="3"/>
        <charset val="128"/>
      </rPr>
      <t>日</t>
    </r>
    <r>
      <rPr>
        <sz val="12"/>
        <color indexed="8"/>
        <rFont val="Arial"/>
        <family val="2"/>
      </rPr>
      <t>/</t>
    </r>
    <r>
      <rPr>
        <sz val="12"/>
        <color indexed="8"/>
        <rFont val="ＭＳ Ｐゴシック"/>
        <family val="3"/>
        <charset val="128"/>
      </rPr>
      <t>年</t>
    </r>
    <rPh sb="0" eb="1">
      <t>ニチ</t>
    </rPh>
    <rPh sb="2" eb="3">
      <t>ネン</t>
    </rPh>
    <phoneticPr fontId="5"/>
  </si>
  <si>
    <r>
      <t>円</t>
    </r>
    <r>
      <rPr>
        <sz val="12"/>
        <color indexed="8"/>
        <rFont val="Arial"/>
        <family val="2"/>
      </rPr>
      <t>/kWh</t>
    </r>
    <rPh sb="0" eb="1">
      <t>エン</t>
    </rPh>
    <phoneticPr fontId="5"/>
  </si>
  <si>
    <t>IRR（20年）</t>
    <rPh sb="6" eb="7">
      <t>ネン</t>
    </rPh>
    <phoneticPr fontId="5"/>
  </si>
  <si>
    <t>人件費</t>
    <rPh sb="0" eb="3">
      <t>ジンケンヒ</t>
    </rPh>
    <phoneticPr fontId="4"/>
  </si>
  <si>
    <t>段階</t>
    <rPh sb="0" eb="2">
      <t>ダンカイ</t>
    </rPh>
    <phoneticPr fontId="4"/>
  </si>
  <si>
    <t>バリューチェーン</t>
    <phoneticPr fontId="4"/>
  </si>
  <si>
    <t>システム製造</t>
    <rPh sb="4" eb="6">
      <t>セイゾウ</t>
    </rPh>
    <phoneticPr fontId="4"/>
  </si>
  <si>
    <t>計画・導入</t>
    <rPh sb="0" eb="2">
      <t>ケイカク</t>
    </rPh>
    <rPh sb="3" eb="5">
      <t>ドウニュウ</t>
    </rPh>
    <phoneticPr fontId="4"/>
  </si>
  <si>
    <t>運転・維持</t>
    <rPh sb="0" eb="2">
      <t>ウンテン</t>
    </rPh>
    <rPh sb="3" eb="5">
      <t>イジ</t>
    </rPh>
    <phoneticPr fontId="4"/>
  </si>
  <si>
    <t>燃料　調達</t>
    <rPh sb="0" eb="2">
      <t>ネンリョウ</t>
    </rPh>
    <rPh sb="3" eb="5">
      <t>チョウタツ</t>
    </rPh>
    <phoneticPr fontId="4"/>
  </si>
  <si>
    <t>事業マネージメント</t>
    <rPh sb="0" eb="2">
      <t>ジギョウ</t>
    </rPh>
    <phoneticPr fontId="4"/>
  </si>
  <si>
    <t>支払利息</t>
    <rPh sb="0" eb="4">
      <t>シハライリソク</t>
    </rPh>
    <phoneticPr fontId="4"/>
  </si>
  <si>
    <t>電気事業税</t>
    <rPh sb="0" eb="5">
      <t>デンキジギョウゼイ</t>
    </rPh>
    <phoneticPr fontId="4"/>
  </si>
  <si>
    <t>建設業</t>
    <rPh sb="0" eb="3">
      <t>ケンセツギョウ</t>
    </rPh>
    <phoneticPr fontId="4"/>
  </si>
  <si>
    <t>設備の廃棄費用</t>
    <rPh sb="0" eb="2">
      <t>セツビ</t>
    </rPh>
    <rPh sb="3" eb="7">
      <t>ハイキヒヨウ</t>
    </rPh>
    <phoneticPr fontId="4"/>
  </si>
  <si>
    <t>ユーティリティー費用</t>
    <rPh sb="8" eb="10">
      <t>ヒヨウ</t>
    </rPh>
    <phoneticPr fontId="4"/>
  </si>
  <si>
    <t>計算条件</t>
    <rPh sb="0" eb="4">
      <t>ケイサンジョウケン</t>
    </rPh>
    <phoneticPr fontId="4"/>
  </si>
  <si>
    <t>関係事業者</t>
    <rPh sb="0" eb="5">
      <t>カンケイジギョウシャ</t>
    </rPh>
    <phoneticPr fontId="4"/>
  </si>
  <si>
    <t>その他の学術研究、専門・技術サービス業</t>
    <rPh sb="2" eb="3">
      <t>タ</t>
    </rPh>
    <rPh sb="4" eb="8">
      <t>ガクジュツケンキュウ</t>
    </rPh>
    <rPh sb="9" eb="11">
      <t>センモン</t>
    </rPh>
    <rPh sb="12" eb="14">
      <t>ギジュツ</t>
    </rPh>
    <rPh sb="18" eb="19">
      <t>ギョウ</t>
    </rPh>
    <phoneticPr fontId="4"/>
  </si>
  <si>
    <t>国と地方の主な税金</t>
    <rPh sb="0" eb="1">
      <t>クニ</t>
    </rPh>
    <rPh sb="2" eb="4">
      <t>チホウ</t>
    </rPh>
    <rPh sb="5" eb="6">
      <t>オモ</t>
    </rPh>
    <rPh sb="7" eb="9">
      <t>ゼイキン</t>
    </rPh>
    <phoneticPr fontId="4"/>
  </si>
  <si>
    <t>国税</t>
    <rPh sb="0" eb="2">
      <t>コクゼイ</t>
    </rPh>
    <phoneticPr fontId="4"/>
  </si>
  <si>
    <t>法人税</t>
    <rPh sb="0" eb="3">
      <t>ホウジンゼイ</t>
    </rPh>
    <phoneticPr fontId="4"/>
  </si>
  <si>
    <t>地方税</t>
    <rPh sb="0" eb="3">
      <t>チホウゼイ</t>
    </rPh>
    <phoneticPr fontId="4"/>
  </si>
  <si>
    <t>個人住民税（均等割※）</t>
    <rPh sb="0" eb="5">
      <t>コジンジュウミンゼイ</t>
    </rPh>
    <rPh sb="6" eb="9">
      <t>キントウワリ</t>
    </rPh>
    <phoneticPr fontId="4"/>
  </si>
  <si>
    <t>都道府県</t>
    <rPh sb="0" eb="4">
      <t>トドウフケン</t>
    </rPh>
    <phoneticPr fontId="4"/>
  </si>
  <si>
    <t>市町村</t>
    <rPh sb="0" eb="3">
      <t>シチョウソン</t>
    </rPh>
    <phoneticPr fontId="4"/>
  </si>
  <si>
    <t>個人住民課税（対給与）</t>
    <rPh sb="0" eb="6">
      <t>コジンジュウミンカゼイ</t>
    </rPh>
    <rPh sb="7" eb="8">
      <t>タイ</t>
    </rPh>
    <rPh sb="8" eb="10">
      <t>キュウヨ</t>
    </rPh>
    <phoneticPr fontId="4"/>
  </si>
  <si>
    <t>法人住民税（所得課税率）</t>
    <rPh sb="0" eb="5">
      <t>ホウジンジュウミンゼイ</t>
    </rPh>
    <rPh sb="6" eb="11">
      <t>ショトクカゼイリツ</t>
    </rPh>
    <phoneticPr fontId="4"/>
  </si>
  <si>
    <t>財産税</t>
    <rPh sb="0" eb="3">
      <t>ザイサンゼイ</t>
    </rPh>
    <phoneticPr fontId="4"/>
  </si>
  <si>
    <t>消費税</t>
    <rPh sb="0" eb="3">
      <t>ショウヒゼイ</t>
    </rPh>
    <phoneticPr fontId="4"/>
  </si>
  <si>
    <t>売上高に対する可処分所得</t>
    <rPh sb="0" eb="3">
      <t>ウリアゲダカ</t>
    </rPh>
    <rPh sb="4" eb="5">
      <t>タイ</t>
    </rPh>
    <rPh sb="7" eb="12">
      <t>カショブンショトク</t>
    </rPh>
    <phoneticPr fontId="4"/>
  </si>
  <si>
    <t>売上高に対する企業の税引き後純利益</t>
    <rPh sb="0" eb="3">
      <t>ウリアゲダカ</t>
    </rPh>
    <rPh sb="4" eb="5">
      <t>タイ</t>
    </rPh>
    <rPh sb="7" eb="9">
      <t>キギョウ</t>
    </rPh>
    <rPh sb="10" eb="12">
      <t>ゼイビ</t>
    </rPh>
    <rPh sb="13" eb="14">
      <t>ゴ</t>
    </rPh>
    <rPh sb="14" eb="17">
      <t>ジュンリエキ</t>
    </rPh>
    <phoneticPr fontId="4"/>
  </si>
  <si>
    <t>売上高に対する都道府県の税収入</t>
    <rPh sb="0" eb="3">
      <t>ウリアゲダカ</t>
    </rPh>
    <rPh sb="4" eb="5">
      <t>タイ</t>
    </rPh>
    <rPh sb="7" eb="11">
      <t>トドウフケン</t>
    </rPh>
    <rPh sb="12" eb="15">
      <t>ゼイシュウニュウ</t>
    </rPh>
    <phoneticPr fontId="4"/>
  </si>
  <si>
    <t>売上高に対する市町村の税収入</t>
    <rPh sb="0" eb="3">
      <t>ウリアゲダカ</t>
    </rPh>
    <rPh sb="4" eb="5">
      <t>タイ</t>
    </rPh>
    <rPh sb="7" eb="10">
      <t>シチョウソン</t>
    </rPh>
    <rPh sb="11" eb="14">
      <t>ゼイシュウニュウ</t>
    </rPh>
    <phoneticPr fontId="4"/>
  </si>
  <si>
    <t>内訳</t>
    <rPh sb="0" eb="2">
      <t>ウチワケ</t>
    </rPh>
    <phoneticPr fontId="4"/>
  </si>
  <si>
    <t>電気業</t>
    <rPh sb="0" eb="2">
      <t>デンキ</t>
    </rPh>
    <rPh sb="2" eb="3">
      <t>ギョウ</t>
    </rPh>
    <phoneticPr fontId="4"/>
  </si>
  <si>
    <t>農業、林業</t>
    <rPh sb="0" eb="2">
      <t>ノウギョウ</t>
    </rPh>
    <rPh sb="3" eb="5">
      <t>リンギョウ</t>
    </rPh>
    <phoneticPr fontId="4"/>
  </si>
  <si>
    <t>陸運業</t>
    <rPh sb="0" eb="3">
      <t>リクウンギョウ</t>
    </rPh>
    <phoneticPr fontId="4"/>
  </si>
  <si>
    <t>銀行業</t>
    <rPh sb="0" eb="3">
      <t>ギンコウギョウ</t>
    </rPh>
    <phoneticPr fontId="4"/>
  </si>
  <si>
    <t>売上高に対する可処分所得</t>
    <rPh sb="0" eb="3">
      <t>ウリアゲダカ</t>
    </rPh>
    <rPh sb="4" eb="5">
      <t>タイ</t>
    </rPh>
    <rPh sb="7" eb="12">
      <t>カショブンショトク</t>
    </rPh>
    <phoneticPr fontId="4"/>
  </si>
  <si>
    <t>備考</t>
    <rPh sb="0" eb="2">
      <t>ビコウ</t>
    </rPh>
    <phoneticPr fontId="4"/>
  </si>
  <si>
    <t>自動入力</t>
    <rPh sb="0" eb="4">
      <t>ジドウニュウリョク</t>
    </rPh>
    <phoneticPr fontId="4"/>
  </si>
  <si>
    <t>金額</t>
    <rPh sb="0" eb="2">
      <t>キンガク</t>
    </rPh>
    <phoneticPr fontId="4"/>
  </si>
  <si>
    <t>↑手動入力</t>
    <rPh sb="1" eb="5">
      <t>シュドウニュウリョク</t>
    </rPh>
    <phoneticPr fontId="4"/>
  </si>
  <si>
    <t>地域外事業者</t>
    <rPh sb="0" eb="6">
      <t>チイキガイジギョウシャ</t>
    </rPh>
    <phoneticPr fontId="4"/>
  </si>
  <si>
    <t>千円（総額）</t>
    <rPh sb="3" eb="5">
      <t>ソウガク</t>
    </rPh>
    <phoneticPr fontId="4"/>
  </si>
  <si>
    <t>千円/年</t>
    <rPh sb="3" eb="4">
      <t>ネン</t>
    </rPh>
    <phoneticPr fontId="4"/>
  </si>
  <si>
    <t>メンテナンス費用</t>
    <rPh sb="6" eb="8">
      <t>ヒヨウ</t>
    </rPh>
    <phoneticPr fontId="4"/>
  </si>
  <si>
    <t>円</t>
    <rPh sb="0" eb="1">
      <t>エン</t>
    </rPh>
    <phoneticPr fontId="4"/>
  </si>
  <si>
    <r>
      <rPr>
        <sz val="9"/>
        <rFont val="ＭＳ Ｐゴシック"/>
        <family val="3"/>
        <charset val="128"/>
      </rPr>
      <t>年度</t>
    </r>
    <phoneticPr fontId="5"/>
  </si>
  <si>
    <t>売電収入</t>
    <rPh sb="0" eb="4">
      <t>バイデンシュウニュウ</t>
    </rPh>
    <phoneticPr fontId="4"/>
  </si>
  <si>
    <t>売熱収入</t>
    <rPh sb="0" eb="4">
      <t>バイネツシュウニュウ</t>
    </rPh>
    <phoneticPr fontId="4"/>
  </si>
  <si>
    <t>kWh</t>
    <phoneticPr fontId="4"/>
  </si>
  <si>
    <r>
      <rPr>
        <sz val="9"/>
        <color theme="1"/>
        <rFont val="ＭＳ Ｐゴシック"/>
        <family val="3"/>
        <charset val="128"/>
      </rPr>
      <t>円</t>
    </r>
    <r>
      <rPr>
        <sz val="9"/>
        <color theme="1"/>
        <rFont val="Arial"/>
        <family val="2"/>
      </rPr>
      <t>/kWh</t>
    </r>
    <rPh sb="0" eb="1">
      <t>エン</t>
    </rPh>
    <phoneticPr fontId="4"/>
  </si>
  <si>
    <t>MJ</t>
    <phoneticPr fontId="4"/>
  </si>
  <si>
    <r>
      <rPr>
        <sz val="9"/>
        <color theme="1"/>
        <rFont val="ＭＳ Ｐゴシック"/>
        <family val="3"/>
        <charset val="128"/>
      </rPr>
      <t>円</t>
    </r>
    <r>
      <rPr>
        <sz val="9"/>
        <color theme="1"/>
        <rFont val="Arial"/>
        <family val="2"/>
      </rPr>
      <t>/MJ</t>
    </r>
    <rPh sb="0" eb="1">
      <t>エン</t>
    </rPh>
    <phoneticPr fontId="4"/>
  </si>
  <si>
    <t>　発電量</t>
    <rPh sb="1" eb="4">
      <t>ハツデンリョウ</t>
    </rPh>
    <phoneticPr fontId="4"/>
  </si>
  <si>
    <t>　売電量</t>
    <rPh sb="1" eb="4">
      <t>バイデンリョウ</t>
    </rPh>
    <phoneticPr fontId="4"/>
  </si>
  <si>
    <t>　売電価格</t>
    <rPh sb="1" eb="5">
      <t>バイデンカカク</t>
    </rPh>
    <phoneticPr fontId="4"/>
  </si>
  <si>
    <t>　熱利用可能量</t>
    <rPh sb="1" eb="7">
      <t>ネツリヨウカノウリョウ</t>
    </rPh>
    <phoneticPr fontId="4"/>
  </si>
  <si>
    <t>　売熱量</t>
    <rPh sb="1" eb="3">
      <t>バイネツ</t>
    </rPh>
    <rPh sb="3" eb="4">
      <t>リョウ</t>
    </rPh>
    <phoneticPr fontId="4"/>
  </si>
  <si>
    <t>　売熱価格</t>
    <rPh sb="1" eb="5">
      <t>バイネツカカク</t>
    </rPh>
    <phoneticPr fontId="4"/>
  </si>
  <si>
    <t>電気事業税（都道府県）</t>
    <rPh sb="0" eb="5">
      <t>デンキジギョウゼイ</t>
    </rPh>
    <rPh sb="6" eb="10">
      <t>トドウフケン</t>
    </rPh>
    <phoneticPr fontId="4"/>
  </si>
  <si>
    <t>都道府県税収</t>
    <rPh sb="0" eb="4">
      <t>トドウフケン</t>
    </rPh>
    <rPh sb="4" eb="6">
      <t>ゼイシュウ</t>
    </rPh>
    <phoneticPr fontId="4"/>
  </si>
  <si>
    <t>消費税（都道府県）</t>
    <rPh sb="0" eb="3">
      <t>ショウヒゼイ</t>
    </rPh>
    <rPh sb="4" eb="8">
      <t>トドウフケン</t>
    </rPh>
    <phoneticPr fontId="4"/>
  </si>
  <si>
    <t>市町村税収</t>
    <rPh sb="0" eb="5">
      <t>シチョウソンゼイシュウ</t>
    </rPh>
    <phoneticPr fontId="4"/>
  </si>
  <si>
    <t>従業員給与</t>
    <rPh sb="0" eb="3">
      <t>ジュウギョウイン</t>
    </rPh>
    <rPh sb="3" eb="5">
      <t>キュウヨ</t>
    </rPh>
    <phoneticPr fontId="4"/>
  </si>
  <si>
    <t>役員給与</t>
    <rPh sb="0" eb="4">
      <t>ヤクインキュウヨ</t>
    </rPh>
    <phoneticPr fontId="4"/>
  </si>
  <si>
    <t>福利厚生費</t>
    <rPh sb="0" eb="5">
      <t>フクリコウセイヒ</t>
    </rPh>
    <phoneticPr fontId="4"/>
  </si>
  <si>
    <t>可処分所得</t>
    <rPh sb="0" eb="5">
      <t>カショブンショトク</t>
    </rPh>
    <phoneticPr fontId="4"/>
  </si>
  <si>
    <t>売電収入</t>
    <rPh sb="0" eb="2">
      <t>バイデン</t>
    </rPh>
    <rPh sb="2" eb="4">
      <t>シュウニュウ</t>
    </rPh>
    <phoneticPr fontId="4"/>
  </si>
  <si>
    <t>20年計</t>
    <rPh sb="2" eb="3">
      <t>ネン</t>
    </rPh>
    <rPh sb="3" eb="4">
      <t>ケイ</t>
    </rPh>
    <phoneticPr fontId="5"/>
  </si>
  <si>
    <t>30年計</t>
    <rPh sb="2" eb="3">
      <t>ネン</t>
    </rPh>
    <rPh sb="3" eb="4">
      <t>ケイ</t>
    </rPh>
    <phoneticPr fontId="5"/>
  </si>
  <si>
    <t>都道府県税収</t>
    <rPh sb="0" eb="6">
      <t>トドウフケンゼイシュウ</t>
    </rPh>
    <phoneticPr fontId="4"/>
  </si>
  <si>
    <t>税引き後準利益</t>
    <rPh sb="0" eb="2">
      <t>ゼイビ</t>
    </rPh>
    <rPh sb="3" eb="7">
      <t>ゴジュンリエキ</t>
    </rPh>
    <phoneticPr fontId="4"/>
  </si>
  <si>
    <t>年度</t>
    <phoneticPr fontId="5"/>
  </si>
  <si>
    <t>合計</t>
    <rPh sb="0" eb="2">
      <t>ゴウケイ</t>
    </rPh>
    <phoneticPr fontId="4"/>
  </si>
  <si>
    <t>自動入力</t>
    <rPh sb="0" eb="4">
      <t>ジドウニュウリョク</t>
    </rPh>
    <phoneticPr fontId="4"/>
  </si>
  <si>
    <t>従業員の可処分所得（金利）</t>
    <rPh sb="0" eb="3">
      <t>ジュウギョウイン</t>
    </rPh>
    <rPh sb="4" eb="9">
      <t>カショブンショトク</t>
    </rPh>
    <rPh sb="10" eb="12">
      <t>キンリ</t>
    </rPh>
    <phoneticPr fontId="4"/>
  </si>
  <si>
    <t>企業の税引後利益（金利）</t>
    <rPh sb="0" eb="2">
      <t>キギョウ</t>
    </rPh>
    <rPh sb="3" eb="8">
      <t>ゼイビキゴリエキ</t>
    </rPh>
    <rPh sb="9" eb="11">
      <t>キンリ</t>
    </rPh>
    <phoneticPr fontId="4"/>
  </si>
  <si>
    <t>○地域内で循環するキャッシュの内訳</t>
    <rPh sb="1" eb="4">
      <t>チイキナイ</t>
    </rPh>
    <rPh sb="5" eb="7">
      <t>ジュンカン</t>
    </rPh>
    <rPh sb="15" eb="17">
      <t>ウチワケ</t>
    </rPh>
    <phoneticPr fontId="4"/>
  </si>
  <si>
    <t>消費税（内訳）</t>
    <rPh sb="0" eb="3">
      <t>ショウヒゼイ</t>
    </rPh>
    <rPh sb="4" eb="6">
      <t>ウチワケ</t>
    </rPh>
    <phoneticPr fontId="4"/>
  </si>
  <si>
    <t>固定資産税（市町村）</t>
    <rPh sb="0" eb="5">
      <t>コテイシサンゼイ</t>
    </rPh>
    <rPh sb="6" eb="9">
      <t>シチョウソン</t>
    </rPh>
    <phoneticPr fontId="4"/>
  </si>
  <si>
    <t>○事業種別のまとめ</t>
    <rPh sb="1" eb="3">
      <t>ジギョウ</t>
    </rPh>
    <rPh sb="3" eb="5">
      <t>シュベツ</t>
    </rPh>
    <phoneticPr fontId="4"/>
  </si>
  <si>
    <t>地域内事業者売上</t>
    <rPh sb="0" eb="3">
      <t>チイキナイ</t>
    </rPh>
    <rPh sb="3" eb="6">
      <t>ジギョウシャ</t>
    </rPh>
    <rPh sb="6" eb="8">
      <t>ウリアゲ</t>
    </rPh>
    <phoneticPr fontId="4"/>
  </si>
  <si>
    <t>合計額</t>
    <rPh sb="0" eb="3">
      <t>ゴウケイガク</t>
    </rPh>
    <phoneticPr fontId="4"/>
  </si>
  <si>
    <t>運転維持(バイオマス調達)</t>
    <rPh sb="0" eb="4">
      <t>ウンテンイジ</t>
    </rPh>
    <phoneticPr fontId="4"/>
  </si>
  <si>
    <t>運転維持(その他）</t>
    <rPh sb="0" eb="4">
      <t>ウンテンイジ</t>
    </rPh>
    <rPh sb="7" eb="8">
      <t>タ</t>
    </rPh>
    <phoneticPr fontId="4"/>
  </si>
  <si>
    <t>○事業者内でのキャッシュのまとめ</t>
    <rPh sb="1" eb="4">
      <t>ジギョウシャ</t>
    </rPh>
    <rPh sb="4" eb="5">
      <t>ナイ</t>
    </rPh>
    <phoneticPr fontId="4"/>
  </si>
  <si>
    <t>収入</t>
    <rPh sb="0" eb="2">
      <t>シュウニュウ</t>
    </rPh>
    <phoneticPr fontId="4"/>
  </si>
  <si>
    <t>支出</t>
    <rPh sb="0" eb="2">
      <t>シシュツ</t>
    </rPh>
    <phoneticPr fontId="4"/>
  </si>
  <si>
    <t>イニシャル</t>
    <phoneticPr fontId="4"/>
  </si>
  <si>
    <t>変動費</t>
    <rPh sb="0" eb="3">
      <t>ヘンドウヒ</t>
    </rPh>
    <phoneticPr fontId="4"/>
  </si>
  <si>
    <t>　うち都道府県税収</t>
    <rPh sb="3" eb="9">
      <t>トドウフケンゼイシュウ</t>
    </rPh>
    <phoneticPr fontId="4"/>
  </si>
  <si>
    <t>　うち市町村税収</t>
    <rPh sb="3" eb="8">
      <t>シチョウソンゼイシュウ</t>
    </rPh>
    <phoneticPr fontId="4"/>
  </si>
  <si>
    <t>　うち福利厚生費</t>
    <rPh sb="3" eb="8">
      <t>フクリコウセイヒ</t>
    </rPh>
    <phoneticPr fontId="4"/>
  </si>
  <si>
    <t>法人税（都道府県）</t>
    <rPh sb="0" eb="3">
      <t>ホウジンゼイ</t>
    </rPh>
    <rPh sb="4" eb="8">
      <t>トドウフケン</t>
    </rPh>
    <phoneticPr fontId="4"/>
  </si>
  <si>
    <t>法人税（市町村）</t>
    <rPh sb="0" eb="3">
      <t>ホウジンゼイ</t>
    </rPh>
    <rPh sb="4" eb="7">
      <t>シチョウソン</t>
    </rPh>
    <phoneticPr fontId="4"/>
  </si>
  <si>
    <t>借入金返済</t>
    <rPh sb="0" eb="5">
      <t>カリイレキンヘンサイ</t>
    </rPh>
    <phoneticPr fontId="4"/>
  </si>
  <si>
    <t>地域内で循環するキャッシュの総量</t>
  </si>
  <si>
    <t>合計額（営業キャッシュ・フロー）</t>
    <rPh sb="0" eb="3">
      <t>ゴウケイガク</t>
    </rPh>
    <rPh sb="4" eb="6">
      <t>エイギョウ</t>
    </rPh>
    <phoneticPr fontId="4"/>
  </si>
  <si>
    <t>財務キャッシュ・フロー（支出のみ）</t>
    <rPh sb="0" eb="2">
      <t>ザイム</t>
    </rPh>
    <rPh sb="12" eb="14">
      <t>シシュツ</t>
    </rPh>
    <phoneticPr fontId="4"/>
  </si>
  <si>
    <t>合計額（財務キャッシュ・フロー）</t>
    <rPh sb="0" eb="3">
      <t>ゴウケイガク</t>
    </rPh>
    <rPh sb="4" eb="6">
      <t>ザイム</t>
    </rPh>
    <phoneticPr fontId="4"/>
  </si>
  <si>
    <t>繰越欠損金考慮後の課税所得</t>
    <phoneticPr fontId="4"/>
  </si>
  <si>
    <t>円/kWh</t>
    <rPh sb="0" eb="1">
      <t>エン</t>
    </rPh>
    <phoneticPr fontId="4"/>
  </si>
  <si>
    <t>百万円</t>
    <rPh sb="0" eb="3">
      <t>ヒャクマンエン</t>
    </rPh>
    <phoneticPr fontId="4"/>
  </si>
  <si>
    <t>円/MJ</t>
    <rPh sb="0" eb="1">
      <t>エン</t>
    </rPh>
    <phoneticPr fontId="4"/>
  </si>
  <si>
    <t>10年計</t>
    <rPh sb="2" eb="3">
      <t>ネン</t>
    </rPh>
    <rPh sb="3" eb="4">
      <t>ケイ</t>
    </rPh>
    <phoneticPr fontId="5"/>
  </si>
  <si>
    <t>円</t>
    <rPh sb="0" eb="1">
      <t>エン</t>
    </rPh>
    <phoneticPr fontId="4"/>
  </si>
  <si>
    <t>10年間合計</t>
  </si>
  <si>
    <t>20年間合計</t>
  </si>
  <si>
    <t>電力費用低減効果</t>
    <rPh sb="0" eb="8">
      <t>デンリョクヒヨウテイゲンコウカ</t>
    </rPh>
    <phoneticPr fontId="4"/>
  </si>
  <si>
    <t>熱費用低減効果</t>
    <rPh sb="0" eb="1">
      <t>ネツ</t>
    </rPh>
    <rPh sb="1" eb="3">
      <t>ヒヨウ</t>
    </rPh>
    <rPh sb="3" eb="5">
      <t>テイゲン</t>
    </rPh>
    <rPh sb="5" eb="7">
      <t>コウカ</t>
    </rPh>
    <phoneticPr fontId="4"/>
  </si>
  <si>
    <t>法人住民税（均等割※）</t>
    <rPh sb="0" eb="5">
      <t>ホウジンジュウミンゼイ</t>
    </rPh>
    <rPh sb="6" eb="9">
      <t>キントウワリ</t>
    </rPh>
    <phoneticPr fontId="4"/>
  </si>
  <si>
    <t>↓必要に応じて名称を変更してください</t>
    <rPh sb="1" eb="3">
      <t>ヒツヨウ</t>
    </rPh>
    <rPh sb="4" eb="5">
      <t>オウ</t>
    </rPh>
    <rPh sb="7" eb="9">
      <t>メイショウ</t>
    </rPh>
    <rPh sb="10" eb="12">
      <t>ヘンコウ</t>
    </rPh>
    <phoneticPr fontId="4"/>
  </si>
  <si>
    <t>↓手動入力</t>
    <rPh sb="1" eb="5">
      <t>シュドウニュウリョク</t>
    </rPh>
    <phoneticPr fontId="4"/>
  </si>
  <si>
    <t>地域経済性の分析</t>
    <rPh sb="0" eb="2">
      <t>チイキ</t>
    </rPh>
    <rPh sb="2" eb="4">
      <t>ケイザイ</t>
    </rPh>
    <rPh sb="4" eb="5">
      <t>セイ</t>
    </rPh>
    <rPh sb="6" eb="8">
      <t>ブンセキ</t>
    </rPh>
    <phoneticPr fontId="4"/>
  </si>
  <si>
    <t>円/t</t>
    <rPh sb="0" eb="1">
      <t>エン</t>
    </rPh>
    <phoneticPr fontId="4"/>
  </si>
  <si>
    <t>一般管理費</t>
  </si>
  <si>
    <t>最終出力</t>
    <rPh sb="0" eb="4">
      <t>サイシュウシュツリョク</t>
    </rPh>
    <phoneticPr fontId="5"/>
  </si>
  <si>
    <t>1次波及</t>
    <rPh sb="1" eb="4">
      <t>ジハキュウ</t>
    </rPh>
    <phoneticPr fontId="5"/>
  </si>
  <si>
    <t>地域関連事業者の
売上高にしめる可処分所得
（1次）</t>
    <rPh sb="0" eb="2">
      <t>チイキ</t>
    </rPh>
    <rPh sb="2" eb="4">
      <t>カンレン</t>
    </rPh>
    <rPh sb="4" eb="7">
      <t>ジギョウシャ</t>
    </rPh>
    <rPh sb="9" eb="12">
      <t>ウリアゲダカ</t>
    </rPh>
    <rPh sb="16" eb="19">
      <t>カショブン</t>
    </rPh>
    <rPh sb="19" eb="21">
      <t>ショトク</t>
    </rPh>
    <rPh sb="24" eb="25">
      <t>ジ</t>
    </rPh>
    <phoneticPr fontId="5"/>
  </si>
  <si>
    <t>地域関連事業者の
売上高にしめる企業利益
（1次）</t>
    <rPh sb="0" eb="2">
      <t>チイキ</t>
    </rPh>
    <rPh sb="2" eb="4">
      <t>カンレン</t>
    </rPh>
    <rPh sb="4" eb="7">
      <t>ジギョウシャ</t>
    </rPh>
    <rPh sb="9" eb="12">
      <t>ウリアゲダカ</t>
    </rPh>
    <rPh sb="16" eb="20">
      <t>キギョウリエキ</t>
    </rPh>
    <rPh sb="23" eb="24">
      <t>ジ</t>
    </rPh>
    <phoneticPr fontId="5"/>
  </si>
  <si>
    <t>地域関連事業者の
売上高にしめる
都道府県税収（1次）</t>
    <rPh sb="0" eb="2">
      <t>チイキ</t>
    </rPh>
    <rPh sb="2" eb="4">
      <t>カンレン</t>
    </rPh>
    <rPh sb="4" eb="7">
      <t>ジギョウシャ</t>
    </rPh>
    <rPh sb="9" eb="12">
      <t>ウリアゲダカ</t>
    </rPh>
    <rPh sb="17" eb="23">
      <t>トドウフケンゼイシュウ</t>
    </rPh>
    <rPh sb="25" eb="26">
      <t>ジ</t>
    </rPh>
    <phoneticPr fontId="5"/>
  </si>
  <si>
    <t>地域関連事業者の
売上高にしめる
市町村税収（1次）</t>
    <rPh sb="0" eb="2">
      <t>チイキ</t>
    </rPh>
    <rPh sb="2" eb="4">
      <t>カンレン</t>
    </rPh>
    <rPh sb="4" eb="7">
      <t>ジギョウシャ</t>
    </rPh>
    <rPh sb="9" eb="12">
      <t>ウリアゲダカ</t>
    </rPh>
    <rPh sb="17" eb="22">
      <t>シチョウソンゼイシュウ</t>
    </rPh>
    <rPh sb="24" eb="25">
      <t>ジ</t>
    </rPh>
    <phoneticPr fontId="5"/>
  </si>
  <si>
    <t>地域関連事業者の
売上高にしめる雇用所得
（2次）</t>
    <rPh sb="0" eb="2">
      <t>チイキ</t>
    </rPh>
    <rPh sb="2" eb="4">
      <t>カンレン</t>
    </rPh>
    <rPh sb="4" eb="7">
      <t>ジギョウシャ</t>
    </rPh>
    <rPh sb="9" eb="12">
      <t>ウリアゲダカ</t>
    </rPh>
    <rPh sb="16" eb="20">
      <t>コヨウショトク</t>
    </rPh>
    <phoneticPr fontId="5"/>
  </si>
  <si>
    <t>地域関連事業者の
売上高にしめる企業利益
（2次）</t>
    <rPh sb="0" eb="2">
      <t>チイキ</t>
    </rPh>
    <rPh sb="2" eb="4">
      <t>カンレン</t>
    </rPh>
    <rPh sb="4" eb="7">
      <t>ジギョウシャ</t>
    </rPh>
    <rPh sb="9" eb="12">
      <t>ウリアゲダカ</t>
    </rPh>
    <rPh sb="16" eb="20">
      <t>キギョウリエキ</t>
    </rPh>
    <phoneticPr fontId="5"/>
  </si>
  <si>
    <t>地域関連事業者の
売上高にしめる
都道府県税収（2次）</t>
    <rPh sb="0" eb="2">
      <t>チイキ</t>
    </rPh>
    <rPh sb="2" eb="4">
      <t>カンレン</t>
    </rPh>
    <rPh sb="4" eb="7">
      <t>ジギョウシャ</t>
    </rPh>
    <rPh sb="9" eb="12">
      <t>ウリアゲダカ</t>
    </rPh>
    <rPh sb="17" eb="23">
      <t>トドウフケンゼイシュウ</t>
    </rPh>
    <phoneticPr fontId="5"/>
  </si>
  <si>
    <t>地域関連事業者の
売上高にしめる
市町村税収（2次）</t>
    <rPh sb="0" eb="2">
      <t>チイキ</t>
    </rPh>
    <rPh sb="2" eb="4">
      <t>カンレン</t>
    </rPh>
    <rPh sb="4" eb="7">
      <t>ジギョウシャ</t>
    </rPh>
    <rPh sb="9" eb="12">
      <t>ウリアゲダカ</t>
    </rPh>
    <rPh sb="17" eb="22">
      <t>シチョウソンゼイシュウ</t>
    </rPh>
    <phoneticPr fontId="5"/>
  </si>
  <si>
    <t>売上高にしめる雇用所得</t>
    <rPh sb="0" eb="3">
      <t>ウリアゲダカ</t>
    </rPh>
    <rPh sb="7" eb="11">
      <t>コヨウショトク</t>
    </rPh>
    <phoneticPr fontId="5"/>
  </si>
  <si>
    <t>売上高に占める営業余剰</t>
    <rPh sb="0" eb="3">
      <t>ウリアゲダカ</t>
    </rPh>
    <rPh sb="4" eb="5">
      <t>シ</t>
    </rPh>
    <rPh sb="7" eb="11">
      <t>エイギョウヨジョウ</t>
    </rPh>
    <phoneticPr fontId="5"/>
  </si>
  <si>
    <t>売上高に占める
個人住民税＋住民課税
（都道府県）</t>
    <rPh sb="0" eb="3">
      <t>ウリアゲダカ</t>
    </rPh>
    <rPh sb="4" eb="5">
      <t>シ</t>
    </rPh>
    <rPh sb="8" eb="13">
      <t>コジンジュウミンゼイ</t>
    </rPh>
    <rPh sb="14" eb="16">
      <t>ジュウミン</t>
    </rPh>
    <rPh sb="16" eb="18">
      <t>カゼイ</t>
    </rPh>
    <rPh sb="20" eb="24">
      <t>トドウフケン</t>
    </rPh>
    <phoneticPr fontId="5"/>
  </si>
  <si>
    <t>売上高に占める
個人住民税＋住民課税
（市町村）</t>
    <rPh sb="0" eb="3">
      <t>ウリアゲダカ</t>
    </rPh>
    <rPh sb="4" eb="5">
      <t>シ</t>
    </rPh>
    <rPh sb="8" eb="13">
      <t>コジンジュウミンゼイ</t>
    </rPh>
    <rPh sb="14" eb="16">
      <t>ジュウミン</t>
    </rPh>
    <rPh sb="16" eb="18">
      <t>カゼイ</t>
    </rPh>
    <rPh sb="20" eb="23">
      <t>シチョウソン</t>
    </rPh>
    <phoneticPr fontId="5"/>
  </si>
  <si>
    <t>売上高に占める
法人住民税＋法人事業税
（都道府県）</t>
    <rPh sb="0" eb="3">
      <t>ウリアゲダカ</t>
    </rPh>
    <rPh sb="4" eb="5">
      <t>シ</t>
    </rPh>
    <rPh sb="8" eb="10">
      <t>ホウジン</t>
    </rPh>
    <rPh sb="10" eb="13">
      <t>ジュウミンゼイ</t>
    </rPh>
    <rPh sb="14" eb="18">
      <t>ホウジンジギョウ</t>
    </rPh>
    <rPh sb="18" eb="19">
      <t>ゼイ</t>
    </rPh>
    <rPh sb="21" eb="25">
      <t>トドウフケン</t>
    </rPh>
    <phoneticPr fontId="5"/>
  </si>
  <si>
    <t>売上高に占める
法人住民税＋法人事業税
（市町村）</t>
    <rPh sb="0" eb="3">
      <t>ウリアゲダカ</t>
    </rPh>
    <rPh sb="4" eb="5">
      <t>シ</t>
    </rPh>
    <rPh sb="8" eb="10">
      <t>ホウジン</t>
    </rPh>
    <rPh sb="10" eb="13">
      <t>ジュウミンゼイ</t>
    </rPh>
    <rPh sb="14" eb="18">
      <t>ホウジンジギョウ</t>
    </rPh>
    <rPh sb="18" eb="19">
      <t>ゼイ</t>
    </rPh>
    <rPh sb="21" eb="24">
      <t>シチョウソン</t>
    </rPh>
    <phoneticPr fontId="5"/>
  </si>
  <si>
    <t>売上高に対する
2次雇用所得</t>
    <rPh sb="0" eb="3">
      <t>ウリアゲダカ</t>
    </rPh>
    <rPh sb="9" eb="10">
      <t>ジ</t>
    </rPh>
    <rPh sb="10" eb="14">
      <t>コヨウショトク</t>
    </rPh>
    <phoneticPr fontId="5"/>
  </si>
  <si>
    <t>売上高に占める
2次営業余剰</t>
    <rPh sb="0" eb="3">
      <t>ウリアゲダカ</t>
    </rPh>
    <rPh sb="4" eb="5">
      <t>シ</t>
    </rPh>
    <rPh sb="9" eb="10">
      <t>ジ</t>
    </rPh>
    <rPh sb="10" eb="14">
      <t>エイギョウヨジョウ</t>
    </rPh>
    <phoneticPr fontId="5"/>
  </si>
  <si>
    <t>↓手動入力（R列からコピー可）</t>
    <rPh sb="1" eb="5">
      <t>シュドウニュウリョク</t>
    </rPh>
    <rPh sb="7" eb="8">
      <t>レツ</t>
    </rPh>
    <rPh sb="13" eb="14">
      <t>カ</t>
    </rPh>
    <phoneticPr fontId="4"/>
  </si>
  <si>
    <t>1次波及効果</t>
    <rPh sb="1" eb="6">
      <t>ジハキュウコウカ</t>
    </rPh>
    <phoneticPr fontId="4"/>
  </si>
  <si>
    <t>２次波及効果</t>
    <rPh sb="1" eb="6">
      <t>ジハキュウコウカ</t>
    </rPh>
    <phoneticPr fontId="4"/>
  </si>
  <si>
    <t>従業員の可処分所得（一次）</t>
    <rPh sb="0" eb="3">
      <t>ジュウギョウイン</t>
    </rPh>
    <rPh sb="4" eb="9">
      <t>カショブンショトク</t>
    </rPh>
    <rPh sb="10" eb="11">
      <t>イチ</t>
    </rPh>
    <rPh sb="11" eb="12">
      <t>ジ</t>
    </rPh>
    <phoneticPr fontId="4"/>
  </si>
  <si>
    <t>企業の税引後利益（一次）</t>
    <rPh sb="0" eb="2">
      <t>キギョウ</t>
    </rPh>
    <rPh sb="3" eb="8">
      <t>ゼイビキゴリエキ</t>
    </rPh>
    <rPh sb="9" eb="11">
      <t>イチジ</t>
    </rPh>
    <phoneticPr fontId="4"/>
  </si>
  <si>
    <t>都道府県税収（一次）</t>
    <rPh sb="0" eb="4">
      <t>トドウフケン</t>
    </rPh>
    <rPh sb="4" eb="6">
      <t>ゼイシュウ</t>
    </rPh>
    <phoneticPr fontId="4"/>
  </si>
  <si>
    <t>市町村税収（一次）</t>
    <rPh sb="0" eb="5">
      <t>シチョウソンゼイシュウ</t>
    </rPh>
    <phoneticPr fontId="4"/>
  </si>
  <si>
    <t>円</t>
    <rPh sb="0" eb="1">
      <t>エン</t>
    </rPh>
    <phoneticPr fontId="4"/>
  </si>
  <si>
    <t>従業員の可処分所得（二次以降）</t>
    <rPh sb="0" eb="3">
      <t>ジュウギョウイン</t>
    </rPh>
    <rPh sb="4" eb="9">
      <t>カショブンショトク</t>
    </rPh>
    <phoneticPr fontId="4"/>
  </si>
  <si>
    <t>企業の税引後利益（二次以降）</t>
    <rPh sb="0" eb="2">
      <t>キギョウ</t>
    </rPh>
    <rPh sb="3" eb="8">
      <t>ゼイビキゴリエキ</t>
    </rPh>
    <phoneticPr fontId="4"/>
  </si>
  <si>
    <t>都道府県税収（二次以降）</t>
    <rPh sb="0" eb="4">
      <t>トドウフケン</t>
    </rPh>
    <rPh sb="4" eb="6">
      <t>ゼイシュウ</t>
    </rPh>
    <phoneticPr fontId="4"/>
  </si>
  <si>
    <t>市町村税収（二次以降）</t>
    <rPh sb="0" eb="5">
      <t>シチョウソンゼイシュウ</t>
    </rPh>
    <phoneticPr fontId="4"/>
  </si>
  <si>
    <t>再エネ事業者の所得</t>
    <rPh sb="0" eb="1">
      <t>サイ</t>
    </rPh>
    <rPh sb="3" eb="6">
      <t>ジギョウシャ</t>
    </rPh>
    <rPh sb="7" eb="9">
      <t>ショトク</t>
    </rPh>
    <phoneticPr fontId="4"/>
  </si>
  <si>
    <t>従業員給与</t>
    <rPh sb="0" eb="5">
      <t>ジュウギョウインキュウヨ</t>
    </rPh>
    <phoneticPr fontId="4"/>
  </si>
  <si>
    <t>福利厚生</t>
    <rPh sb="0" eb="4">
      <t>フクリコウセイ</t>
    </rPh>
    <phoneticPr fontId="4"/>
  </si>
  <si>
    <t>借入金返済（域外）</t>
    <rPh sb="6" eb="8">
      <t>イキガイ</t>
    </rPh>
    <phoneticPr fontId="4"/>
  </si>
  <si>
    <t>売上高に占める
所得税（国税）</t>
    <rPh sb="0" eb="3">
      <t>ウリアゲダカ</t>
    </rPh>
    <rPh sb="4" eb="5">
      <t>シ</t>
    </rPh>
    <rPh sb="8" eb="11">
      <t>ショトクゼイ</t>
    </rPh>
    <rPh sb="12" eb="14">
      <t>コクゼイ</t>
    </rPh>
    <phoneticPr fontId="5"/>
  </si>
  <si>
    <t>売上高に占める
法人税（国税）</t>
    <rPh sb="0" eb="3">
      <t>ウリアゲダカ</t>
    </rPh>
    <rPh sb="4" eb="5">
      <t>シ</t>
    </rPh>
    <rPh sb="8" eb="11">
      <t>ホウジンゼイ</t>
    </rPh>
    <rPh sb="12" eb="14">
      <t>コクゼイ</t>
    </rPh>
    <phoneticPr fontId="5"/>
  </si>
  <si>
    <t>2次以降の波及効果</t>
    <rPh sb="1" eb="4">
      <t>ジイコウ</t>
    </rPh>
    <rPh sb="5" eb="7">
      <t>ハキュウ</t>
    </rPh>
    <rPh sb="7" eb="9">
      <t>コウカ</t>
    </rPh>
    <phoneticPr fontId="5"/>
  </si>
  <si>
    <t>法人税（国税）</t>
    <rPh sb="0" eb="3">
      <t>ホウジンゼイ</t>
    </rPh>
    <rPh sb="4" eb="6">
      <t>コクゼイ</t>
    </rPh>
    <phoneticPr fontId="4"/>
  </si>
  <si>
    <t>所得税（国税）</t>
    <rPh sb="0" eb="3">
      <t>ショトクゼイ</t>
    </rPh>
    <rPh sb="4" eb="6">
      <t>コクゼイ</t>
    </rPh>
    <phoneticPr fontId="4"/>
  </si>
  <si>
    <t>一次波及国税</t>
    <rPh sb="0" eb="2">
      <t>イチジ</t>
    </rPh>
    <rPh sb="2" eb="4">
      <t>ハキュウ</t>
    </rPh>
    <rPh sb="4" eb="6">
      <t>コクゼイ</t>
    </rPh>
    <phoneticPr fontId="4"/>
  </si>
  <si>
    <t>売上高に対する
所得税</t>
    <rPh sb="0" eb="3">
      <t>ウリアゲダカ</t>
    </rPh>
    <rPh sb="4" eb="5">
      <t>タイ</t>
    </rPh>
    <rPh sb="8" eb="11">
      <t>ショトクゼイ</t>
    </rPh>
    <phoneticPr fontId="4"/>
  </si>
  <si>
    <t>売上高に対する
法人税</t>
    <rPh sb="0" eb="3">
      <t>ウリアゲダカ</t>
    </rPh>
    <rPh sb="4" eb="5">
      <t>タイ</t>
    </rPh>
    <rPh sb="8" eb="11">
      <t>ホウジンゼイ</t>
    </rPh>
    <phoneticPr fontId="4"/>
  </si>
  <si>
    <t>バイオマス原料処理委託費用</t>
    <rPh sb="5" eb="7">
      <t>ゲンリョウ</t>
    </rPh>
    <rPh sb="7" eb="13">
      <t>ショリイタクヒヨウ</t>
    </rPh>
    <phoneticPr fontId="4"/>
  </si>
  <si>
    <t>　うち国税</t>
    <rPh sb="3" eb="5">
      <t>コクゼイ</t>
    </rPh>
    <phoneticPr fontId="4"/>
  </si>
  <si>
    <t>値</t>
    <rPh sb="0" eb="1">
      <t>アタイ</t>
    </rPh>
    <phoneticPr fontId="4"/>
  </si>
  <si>
    <t>発電量</t>
    <rPh sb="0" eb="2">
      <t>ハツデン</t>
    </rPh>
    <rPh sb="2" eb="3">
      <t>リョウ</t>
    </rPh>
    <phoneticPr fontId="4"/>
  </si>
  <si>
    <t>発熱量</t>
    <rPh sb="0" eb="3">
      <t>ハツネツリョウ</t>
    </rPh>
    <phoneticPr fontId="4"/>
  </si>
  <si>
    <t>電力変換効率</t>
    <rPh sb="0" eb="6">
      <t>デンリョクヘンカンコウリツ</t>
    </rPh>
    <phoneticPr fontId="4"/>
  </si>
  <si>
    <t>熱変換効率</t>
    <rPh sb="0" eb="1">
      <t>ネツ</t>
    </rPh>
    <rPh sb="1" eb="5">
      <t>ヘンカンコウリツ</t>
    </rPh>
    <phoneticPr fontId="4"/>
  </si>
  <si>
    <t>年間稼働日数</t>
    <rPh sb="0" eb="6">
      <t>ネンカンカドウニッスウ</t>
    </rPh>
    <phoneticPr fontId="4"/>
  </si>
  <si>
    <t>年間稼働時間</t>
    <rPh sb="0" eb="2">
      <t>ネンカン</t>
    </rPh>
    <rPh sb="2" eb="6">
      <t>カドウジカン</t>
    </rPh>
    <phoneticPr fontId="4"/>
  </si>
  <si>
    <t>売熱価格</t>
    <rPh sb="0" eb="4">
      <t>バイネツカカク</t>
    </rPh>
    <phoneticPr fontId="3"/>
  </si>
  <si>
    <t>↓設備名を記入</t>
    <rPh sb="1" eb="4">
      <t>セツビメイ</t>
    </rPh>
    <rPh sb="5" eb="7">
      <t>キニュウ</t>
    </rPh>
    <phoneticPr fontId="4"/>
  </si>
  <si>
    <t>千円（総額）</t>
    <rPh sb="3" eb="5">
      <t>ソウガク</t>
    </rPh>
    <phoneticPr fontId="3"/>
  </si>
  <si>
    <t>保守点検費用</t>
  </si>
  <si>
    <t>値</t>
    <rPh sb="0" eb="1">
      <t>アタイ</t>
    </rPh>
    <phoneticPr fontId="3"/>
  </si>
  <si>
    <t>人件費（他地域）</t>
    <rPh sb="0" eb="3">
      <t>ジンケンヒ</t>
    </rPh>
    <rPh sb="4" eb="7">
      <t>タチイキ</t>
    </rPh>
    <phoneticPr fontId="4"/>
  </si>
  <si>
    <t>土木建築</t>
    <rPh sb="0" eb="4">
      <t>ドボクケンチク</t>
    </rPh>
    <phoneticPr fontId="4"/>
  </si>
  <si>
    <t>キャッシュフロー分析</t>
    <rPh sb="8" eb="10">
      <t>ブンセキ</t>
    </rPh>
    <phoneticPr fontId="4"/>
  </si>
  <si>
    <r>
      <t>0</t>
    </r>
    <r>
      <rPr>
        <sz val="10"/>
        <color theme="1"/>
        <rFont val="ＭＳ Ｐゴシック"/>
        <family val="3"/>
        <charset val="128"/>
      </rPr>
      <t>年目</t>
    </r>
    <rPh sb="1" eb="3">
      <t>ネンメ</t>
    </rPh>
    <phoneticPr fontId="4"/>
  </si>
  <si>
    <r>
      <t>1年目</t>
    </r>
    <r>
      <rPr>
        <sz val="10"/>
        <color theme="1"/>
        <rFont val="ＭＳ Ｐゴシック"/>
        <family val="3"/>
        <charset val="128"/>
      </rPr>
      <t/>
    </r>
    <rPh sb="1" eb="3">
      <t>ネンメ</t>
    </rPh>
    <phoneticPr fontId="4"/>
  </si>
  <si>
    <r>
      <t>2年目</t>
    </r>
    <r>
      <rPr>
        <sz val="10"/>
        <color theme="1"/>
        <rFont val="ＭＳ Ｐゴシック"/>
        <family val="3"/>
        <charset val="128"/>
      </rPr>
      <t/>
    </r>
    <rPh sb="1" eb="3">
      <t>ネンメ</t>
    </rPh>
    <phoneticPr fontId="4"/>
  </si>
  <si>
    <r>
      <t>3年目</t>
    </r>
    <r>
      <rPr>
        <sz val="10"/>
        <color theme="1"/>
        <rFont val="ＭＳ Ｐゴシック"/>
        <family val="3"/>
        <charset val="128"/>
      </rPr>
      <t/>
    </r>
    <rPh sb="1" eb="3">
      <t>ネンメ</t>
    </rPh>
    <phoneticPr fontId="4"/>
  </si>
  <si>
    <r>
      <t>4年目</t>
    </r>
    <r>
      <rPr>
        <sz val="10"/>
        <color theme="1"/>
        <rFont val="ＭＳ Ｐゴシック"/>
        <family val="3"/>
        <charset val="128"/>
      </rPr>
      <t/>
    </r>
    <rPh sb="1" eb="3">
      <t>ネンメ</t>
    </rPh>
    <phoneticPr fontId="4"/>
  </si>
  <si>
    <r>
      <t>5年目</t>
    </r>
    <r>
      <rPr>
        <sz val="10"/>
        <color theme="1"/>
        <rFont val="ＭＳ Ｐゴシック"/>
        <family val="3"/>
        <charset val="128"/>
      </rPr>
      <t/>
    </r>
    <rPh sb="1" eb="3">
      <t>ネンメ</t>
    </rPh>
    <phoneticPr fontId="4"/>
  </si>
  <si>
    <r>
      <t>6年目</t>
    </r>
    <r>
      <rPr>
        <sz val="10"/>
        <color theme="1"/>
        <rFont val="ＭＳ Ｐゴシック"/>
        <family val="3"/>
        <charset val="128"/>
      </rPr>
      <t/>
    </r>
    <rPh sb="1" eb="3">
      <t>ネンメ</t>
    </rPh>
    <phoneticPr fontId="4"/>
  </si>
  <si>
    <r>
      <t>7年目</t>
    </r>
    <r>
      <rPr>
        <sz val="10"/>
        <color theme="1"/>
        <rFont val="ＭＳ Ｐゴシック"/>
        <family val="3"/>
        <charset val="128"/>
      </rPr>
      <t/>
    </r>
    <rPh sb="1" eb="3">
      <t>ネンメ</t>
    </rPh>
    <phoneticPr fontId="4"/>
  </si>
  <si>
    <r>
      <t>8年目</t>
    </r>
    <r>
      <rPr>
        <sz val="10"/>
        <color theme="1"/>
        <rFont val="ＭＳ Ｐゴシック"/>
        <family val="3"/>
        <charset val="128"/>
      </rPr>
      <t/>
    </r>
    <rPh sb="1" eb="3">
      <t>ネンメ</t>
    </rPh>
    <phoneticPr fontId="4"/>
  </si>
  <si>
    <r>
      <t>9年目</t>
    </r>
    <r>
      <rPr>
        <sz val="10"/>
        <color theme="1"/>
        <rFont val="ＭＳ Ｐゴシック"/>
        <family val="3"/>
        <charset val="128"/>
      </rPr>
      <t/>
    </r>
    <rPh sb="1" eb="3">
      <t>ネンメ</t>
    </rPh>
    <phoneticPr fontId="4"/>
  </si>
  <si>
    <r>
      <t>10年目</t>
    </r>
    <r>
      <rPr>
        <sz val="10"/>
        <color theme="1"/>
        <rFont val="ＭＳ Ｐゴシック"/>
        <family val="3"/>
        <charset val="128"/>
      </rPr>
      <t/>
    </r>
    <rPh sb="2" eb="4">
      <t>ネンメ</t>
    </rPh>
    <phoneticPr fontId="4"/>
  </si>
  <si>
    <r>
      <t>11年目</t>
    </r>
    <r>
      <rPr>
        <sz val="10"/>
        <color theme="1"/>
        <rFont val="ＭＳ Ｐゴシック"/>
        <family val="3"/>
        <charset val="128"/>
      </rPr>
      <t/>
    </r>
    <rPh sb="2" eb="4">
      <t>ネンメ</t>
    </rPh>
    <phoneticPr fontId="4"/>
  </si>
  <si>
    <r>
      <t>12年目</t>
    </r>
    <r>
      <rPr>
        <sz val="10"/>
        <color theme="1"/>
        <rFont val="ＭＳ Ｐゴシック"/>
        <family val="3"/>
        <charset val="128"/>
      </rPr>
      <t/>
    </r>
    <rPh sb="2" eb="4">
      <t>ネンメ</t>
    </rPh>
    <phoneticPr fontId="4"/>
  </si>
  <si>
    <r>
      <t>13年目</t>
    </r>
    <r>
      <rPr>
        <sz val="10"/>
        <color theme="1"/>
        <rFont val="ＭＳ Ｐゴシック"/>
        <family val="3"/>
        <charset val="128"/>
      </rPr>
      <t/>
    </r>
    <rPh sb="2" eb="4">
      <t>ネンメ</t>
    </rPh>
    <phoneticPr fontId="4"/>
  </si>
  <si>
    <r>
      <t>14年目</t>
    </r>
    <r>
      <rPr>
        <sz val="10"/>
        <color theme="1"/>
        <rFont val="ＭＳ Ｐゴシック"/>
        <family val="3"/>
        <charset val="128"/>
      </rPr>
      <t/>
    </r>
    <rPh sb="2" eb="4">
      <t>ネンメ</t>
    </rPh>
    <phoneticPr fontId="4"/>
  </si>
  <si>
    <r>
      <t>15年目</t>
    </r>
    <r>
      <rPr>
        <sz val="10"/>
        <color theme="1"/>
        <rFont val="ＭＳ Ｐゴシック"/>
        <family val="3"/>
        <charset val="128"/>
      </rPr>
      <t/>
    </r>
    <rPh sb="2" eb="4">
      <t>ネンメ</t>
    </rPh>
    <phoneticPr fontId="4"/>
  </si>
  <si>
    <r>
      <t>16年目</t>
    </r>
    <r>
      <rPr>
        <sz val="10"/>
        <color theme="1"/>
        <rFont val="ＭＳ Ｐゴシック"/>
        <family val="3"/>
        <charset val="128"/>
      </rPr>
      <t/>
    </r>
    <rPh sb="2" eb="4">
      <t>ネンメ</t>
    </rPh>
    <phoneticPr fontId="4"/>
  </si>
  <si>
    <r>
      <t>17年目</t>
    </r>
    <r>
      <rPr>
        <sz val="10"/>
        <color theme="1"/>
        <rFont val="ＭＳ Ｐゴシック"/>
        <family val="3"/>
        <charset val="128"/>
      </rPr>
      <t/>
    </r>
    <rPh sb="2" eb="4">
      <t>ネンメ</t>
    </rPh>
    <phoneticPr fontId="4"/>
  </si>
  <si>
    <r>
      <t>18年目</t>
    </r>
    <r>
      <rPr>
        <sz val="10"/>
        <color theme="1"/>
        <rFont val="ＭＳ Ｐゴシック"/>
        <family val="3"/>
        <charset val="128"/>
      </rPr>
      <t/>
    </r>
    <rPh sb="2" eb="4">
      <t>ネンメ</t>
    </rPh>
    <phoneticPr fontId="4"/>
  </si>
  <si>
    <r>
      <t>19年目</t>
    </r>
    <r>
      <rPr>
        <sz val="10"/>
        <color theme="1"/>
        <rFont val="ＭＳ Ｐゴシック"/>
        <family val="3"/>
        <charset val="128"/>
      </rPr>
      <t/>
    </r>
    <rPh sb="2" eb="4">
      <t>ネンメ</t>
    </rPh>
    <phoneticPr fontId="4"/>
  </si>
  <si>
    <r>
      <t>20年目</t>
    </r>
    <r>
      <rPr>
        <sz val="10"/>
        <color theme="1"/>
        <rFont val="ＭＳ Ｐゴシック"/>
        <family val="3"/>
        <charset val="128"/>
      </rPr>
      <t/>
    </r>
    <rPh sb="2" eb="4">
      <t>ネンメ</t>
    </rPh>
    <phoneticPr fontId="4"/>
  </si>
  <si>
    <r>
      <t>21年目</t>
    </r>
    <r>
      <rPr>
        <sz val="10"/>
        <color theme="1"/>
        <rFont val="ＭＳ Ｐゴシック"/>
        <family val="3"/>
        <charset val="128"/>
      </rPr>
      <t/>
    </r>
    <rPh sb="2" eb="4">
      <t>ネンメ</t>
    </rPh>
    <phoneticPr fontId="4"/>
  </si>
  <si>
    <r>
      <t>22年目</t>
    </r>
    <r>
      <rPr>
        <sz val="10"/>
        <color theme="1"/>
        <rFont val="ＭＳ Ｐゴシック"/>
        <family val="3"/>
        <charset val="128"/>
      </rPr>
      <t/>
    </r>
    <rPh sb="2" eb="4">
      <t>ネンメ</t>
    </rPh>
    <phoneticPr fontId="4"/>
  </si>
  <si>
    <r>
      <t>23年目</t>
    </r>
    <r>
      <rPr>
        <sz val="10"/>
        <color theme="1"/>
        <rFont val="ＭＳ Ｐゴシック"/>
        <family val="3"/>
        <charset val="128"/>
      </rPr>
      <t/>
    </r>
    <rPh sb="2" eb="4">
      <t>ネンメ</t>
    </rPh>
    <phoneticPr fontId="4"/>
  </si>
  <si>
    <r>
      <t>24年目</t>
    </r>
    <r>
      <rPr>
        <sz val="10"/>
        <color theme="1"/>
        <rFont val="ＭＳ Ｐゴシック"/>
        <family val="3"/>
        <charset val="128"/>
      </rPr>
      <t/>
    </r>
    <rPh sb="2" eb="4">
      <t>ネンメ</t>
    </rPh>
    <phoneticPr fontId="4"/>
  </si>
  <si>
    <r>
      <t>25年目</t>
    </r>
    <r>
      <rPr>
        <sz val="10"/>
        <color theme="1"/>
        <rFont val="ＭＳ Ｐゴシック"/>
        <family val="3"/>
        <charset val="128"/>
      </rPr>
      <t/>
    </r>
    <rPh sb="2" eb="4">
      <t>ネンメ</t>
    </rPh>
    <phoneticPr fontId="4"/>
  </si>
  <si>
    <r>
      <t>26年目</t>
    </r>
    <r>
      <rPr>
        <sz val="10"/>
        <color theme="1"/>
        <rFont val="ＭＳ Ｐゴシック"/>
        <family val="3"/>
        <charset val="128"/>
      </rPr>
      <t/>
    </r>
    <rPh sb="2" eb="4">
      <t>ネンメ</t>
    </rPh>
    <phoneticPr fontId="4"/>
  </si>
  <si>
    <r>
      <t>27年目</t>
    </r>
    <r>
      <rPr>
        <sz val="10"/>
        <color theme="1"/>
        <rFont val="ＭＳ Ｐゴシック"/>
        <family val="3"/>
        <charset val="128"/>
      </rPr>
      <t/>
    </r>
    <rPh sb="2" eb="4">
      <t>ネンメ</t>
    </rPh>
    <phoneticPr fontId="4"/>
  </si>
  <si>
    <r>
      <t>28年目</t>
    </r>
    <r>
      <rPr>
        <sz val="10"/>
        <color theme="1"/>
        <rFont val="ＭＳ Ｐゴシック"/>
        <family val="3"/>
        <charset val="128"/>
      </rPr>
      <t/>
    </r>
    <rPh sb="2" eb="4">
      <t>ネンメ</t>
    </rPh>
    <phoneticPr fontId="4"/>
  </si>
  <si>
    <r>
      <t>29年目</t>
    </r>
    <r>
      <rPr>
        <sz val="10"/>
        <color theme="1"/>
        <rFont val="ＭＳ Ｐゴシック"/>
        <family val="3"/>
        <charset val="128"/>
      </rPr>
      <t/>
    </r>
    <rPh sb="2" eb="4">
      <t>ネンメ</t>
    </rPh>
    <phoneticPr fontId="4"/>
  </si>
  <si>
    <r>
      <t>30年目</t>
    </r>
    <r>
      <rPr>
        <sz val="10"/>
        <color theme="1"/>
        <rFont val="ＭＳ Ｐゴシック"/>
        <family val="3"/>
        <charset val="128"/>
      </rPr>
      <t/>
    </r>
    <rPh sb="2" eb="4">
      <t>ネンメ</t>
    </rPh>
    <phoneticPr fontId="4"/>
  </si>
  <si>
    <r>
      <t>MJ/</t>
    </r>
    <r>
      <rPr>
        <sz val="10"/>
        <color theme="1"/>
        <rFont val="ＭＳ Ｐゴシック"/>
        <family val="3"/>
        <charset val="128"/>
      </rPr>
      <t>年</t>
    </r>
    <rPh sb="3" eb="4">
      <t>ネン</t>
    </rPh>
    <phoneticPr fontId="4"/>
  </si>
  <si>
    <t>　販売割合（100%-自家消費率）</t>
    <rPh sb="1" eb="3">
      <t>ハンバイ</t>
    </rPh>
    <rPh sb="3" eb="5">
      <t>ワリアイ</t>
    </rPh>
    <phoneticPr fontId="4"/>
  </si>
  <si>
    <t>電力所内率</t>
    <rPh sb="0" eb="2">
      <t>デンリョク</t>
    </rPh>
    <rPh sb="2" eb="4">
      <t>ショナイ</t>
    </rPh>
    <rPh sb="4" eb="5">
      <t>リツ</t>
    </rPh>
    <phoneticPr fontId="3"/>
  </si>
  <si>
    <t>熱所内率＋排熱比率</t>
    <rPh sb="0" eb="1">
      <t>ネツ</t>
    </rPh>
    <rPh sb="1" eb="3">
      <t>ショナイ</t>
    </rPh>
    <rPh sb="3" eb="4">
      <t>リツ</t>
    </rPh>
    <rPh sb="5" eb="7">
      <t>ハイネツ</t>
    </rPh>
    <rPh sb="7" eb="9">
      <t>ヒリツ</t>
    </rPh>
    <phoneticPr fontId="4"/>
  </si>
  <si>
    <t>所内率・排熱比率</t>
    <rPh sb="0" eb="2">
      <t>ショナイ</t>
    </rPh>
    <rPh sb="2" eb="3">
      <t>リツ</t>
    </rPh>
    <rPh sb="4" eb="6">
      <t>ハイネツ</t>
    </rPh>
    <rPh sb="6" eb="8">
      <t>ヒリツ</t>
    </rPh>
    <phoneticPr fontId="4"/>
  </si>
  <si>
    <r>
      <rPr>
        <sz val="12"/>
        <color indexed="8"/>
        <rFont val="ＭＳ Ｐゴシック"/>
        <family val="3"/>
        <charset val="128"/>
      </rPr>
      <t>時間</t>
    </r>
    <r>
      <rPr>
        <sz val="12"/>
        <color indexed="8"/>
        <rFont val="Arial"/>
        <family val="2"/>
      </rPr>
      <t>/</t>
    </r>
    <r>
      <rPr>
        <sz val="12"/>
        <color indexed="8"/>
        <rFont val="ＭＳ Ｐゴシック"/>
        <family val="3"/>
        <charset val="128"/>
      </rPr>
      <t>日</t>
    </r>
    <rPh sb="0" eb="2">
      <t>ジカン</t>
    </rPh>
    <rPh sb="3" eb="4">
      <t>ニチ</t>
    </rPh>
    <phoneticPr fontId="5"/>
  </si>
  <si>
    <r>
      <t>円</t>
    </r>
    <r>
      <rPr>
        <sz val="12"/>
        <color indexed="8"/>
        <rFont val="Arial"/>
        <family val="2"/>
      </rPr>
      <t>/MJ</t>
    </r>
    <rPh sb="0" eb="1">
      <t>エン</t>
    </rPh>
    <phoneticPr fontId="5"/>
  </si>
  <si>
    <t>MJ</t>
    <phoneticPr fontId="4"/>
  </si>
  <si>
    <t>その他収益</t>
    <rPh sb="2" eb="3">
      <t>タ</t>
    </rPh>
    <rPh sb="3" eb="5">
      <t>シュウエキ</t>
    </rPh>
    <phoneticPr fontId="4"/>
  </si>
  <si>
    <t>＜名称を入力＞</t>
    <rPh sb="1" eb="3">
      <t>メイショウ</t>
    </rPh>
    <rPh sb="4" eb="6">
      <t>ニュウリョク</t>
    </rPh>
    <phoneticPr fontId="4"/>
  </si>
  <si>
    <t>収益計上するものがあれば以下に入力</t>
    <rPh sb="0" eb="2">
      <t>シュウエキ</t>
    </rPh>
    <rPh sb="2" eb="4">
      <t>ケイジョウ</t>
    </rPh>
    <rPh sb="12" eb="14">
      <t>イカ</t>
    </rPh>
    <rPh sb="15" eb="17">
      <t>ニュウリョク</t>
    </rPh>
    <phoneticPr fontId="4"/>
  </si>
  <si>
    <t>その他収益④</t>
    <rPh sb="2" eb="3">
      <t>タ</t>
    </rPh>
    <rPh sb="3" eb="5">
      <t>シュウエキ</t>
    </rPh>
    <phoneticPr fontId="5"/>
  </si>
  <si>
    <t>その他収益⑤</t>
    <rPh sb="2" eb="3">
      <t>タ</t>
    </rPh>
    <rPh sb="3" eb="5">
      <t>シュウエキ</t>
    </rPh>
    <phoneticPr fontId="5"/>
  </si>
  <si>
    <t>（単位を入力）/日</t>
    <rPh sb="8" eb="9">
      <t>ニチ</t>
    </rPh>
    <phoneticPr fontId="5"/>
  </si>
  <si>
    <r>
      <t>円</t>
    </r>
    <r>
      <rPr>
        <sz val="11"/>
        <color indexed="8"/>
        <rFont val="Arial"/>
        <family val="2"/>
      </rPr>
      <t>/</t>
    </r>
    <r>
      <rPr>
        <sz val="11"/>
        <color indexed="8"/>
        <rFont val="ＭＳ Ｐゴシック"/>
        <family val="3"/>
        <charset val="128"/>
      </rPr>
      <t>（単位を入力）</t>
    </r>
    <rPh sb="0" eb="1">
      <t>エン</t>
    </rPh>
    <rPh sb="3" eb="5">
      <t>タンイ</t>
    </rPh>
    <rPh sb="6" eb="8">
      <t>ニュウリョク</t>
    </rPh>
    <phoneticPr fontId="5"/>
  </si>
  <si>
    <t>＜資源名を入力＞</t>
    <rPh sb="1" eb="3">
      <t>シゲン</t>
    </rPh>
    <rPh sb="3" eb="4">
      <t>メイ</t>
    </rPh>
    <rPh sb="5" eb="7">
      <t>ニュウリョク</t>
    </rPh>
    <phoneticPr fontId="4"/>
  </si>
  <si>
    <t>バイオマス⑥</t>
    <phoneticPr fontId="5"/>
  </si>
  <si>
    <t>バイオマス⑦</t>
    <phoneticPr fontId="5"/>
  </si>
  <si>
    <t>MJ/トン</t>
    <phoneticPr fontId="4"/>
  </si>
  <si>
    <t>投入量</t>
    <rPh sb="0" eb="3">
      <t>トウニュウリョウ</t>
    </rPh>
    <phoneticPr fontId="5"/>
  </si>
  <si>
    <t>円/年</t>
    <rPh sb="0" eb="1">
      <t>エン</t>
    </rPh>
    <rPh sb="2" eb="3">
      <t>ネン</t>
    </rPh>
    <phoneticPr fontId="5"/>
  </si>
  <si>
    <t>固定費①</t>
    <phoneticPr fontId="5"/>
  </si>
  <si>
    <t>固定費②</t>
    <phoneticPr fontId="5"/>
  </si>
  <si>
    <t>固定費⑤</t>
    <phoneticPr fontId="5"/>
  </si>
  <si>
    <t>＜その他・費目を入力＞</t>
    <rPh sb="3" eb="4">
      <t>タ</t>
    </rPh>
    <rPh sb="5" eb="7">
      <t>ヒモク</t>
    </rPh>
    <rPh sb="8" eb="10">
      <t>ニュウリョク</t>
    </rPh>
    <phoneticPr fontId="4"/>
  </si>
  <si>
    <t>＜設備費目を入力＞</t>
    <rPh sb="1" eb="3">
      <t>セツビ</t>
    </rPh>
    <rPh sb="3" eb="5">
      <t>ヒモク</t>
    </rPh>
    <rPh sb="6" eb="8">
      <t>ニュウリョク</t>
    </rPh>
    <phoneticPr fontId="4"/>
  </si>
  <si>
    <t>熱販売価格</t>
    <rPh sb="0" eb="1">
      <t>ネツ</t>
    </rPh>
    <rPh sb="1" eb="3">
      <t>ハンバイ</t>
    </rPh>
    <rPh sb="3" eb="5">
      <t>カカク</t>
    </rPh>
    <phoneticPr fontId="4"/>
  </si>
  <si>
    <t>計算方法</t>
    <rPh sb="0" eb="4">
      <t>ケイサンホウホウ</t>
    </rPh>
    <phoneticPr fontId="5"/>
  </si>
  <si>
    <t>バイオマス総熱量</t>
    <rPh sb="5" eb="8">
      <t>ソウネツリョウ</t>
    </rPh>
    <phoneticPr fontId="5"/>
  </si>
  <si>
    <r>
      <t>t/</t>
    </r>
    <r>
      <rPr>
        <sz val="10"/>
        <color theme="1"/>
        <rFont val="ＭＳ Ｐゴシック"/>
        <family val="3"/>
        <charset val="128"/>
      </rPr>
      <t>年</t>
    </r>
    <rPh sb="2" eb="3">
      <t>ネン</t>
    </rPh>
    <phoneticPr fontId="5"/>
  </si>
  <si>
    <r>
      <t>MJ/</t>
    </r>
    <r>
      <rPr>
        <sz val="10"/>
        <color theme="1"/>
        <rFont val="ＭＳ Ｐゴシック"/>
        <family val="3"/>
        <charset val="128"/>
      </rPr>
      <t>年</t>
    </r>
    <rPh sb="3" eb="4">
      <t>ネン</t>
    </rPh>
    <phoneticPr fontId="5"/>
  </si>
  <si>
    <t>　発熱量</t>
    <rPh sb="1" eb="4">
      <t>ハツネツリョウ</t>
    </rPh>
    <phoneticPr fontId="4"/>
  </si>
  <si>
    <t>年間値</t>
    <rPh sb="0" eb="2">
      <t>ネンカン</t>
    </rPh>
    <rPh sb="2" eb="3">
      <t>チ</t>
    </rPh>
    <phoneticPr fontId="4"/>
  </si>
  <si>
    <t>販売価格</t>
    <rPh sb="0" eb="4">
      <t>ハンバイカカク</t>
    </rPh>
    <phoneticPr fontId="4"/>
  </si>
  <si>
    <t>販売量</t>
    <rPh sb="0" eb="3">
      <t>ハンバイリョウ</t>
    </rPh>
    <phoneticPr fontId="4"/>
  </si>
  <si>
    <t>売電収益</t>
    <rPh sb="0" eb="2">
      <t>バイデン</t>
    </rPh>
    <rPh sb="2" eb="4">
      <t>シュウエキ</t>
    </rPh>
    <phoneticPr fontId="4"/>
  </si>
  <si>
    <t>熱販売収益</t>
    <rPh sb="0" eb="1">
      <t>ネツ</t>
    </rPh>
    <rPh sb="1" eb="3">
      <t>ハンバイ</t>
    </rPh>
    <rPh sb="3" eb="5">
      <t>シュウエキ</t>
    </rPh>
    <phoneticPr fontId="4"/>
  </si>
  <si>
    <t>売熱量</t>
    <rPh sb="0" eb="1">
      <t>ウ</t>
    </rPh>
    <rPh sb="1" eb="3">
      <t>ネツリョウ</t>
    </rPh>
    <phoneticPr fontId="4"/>
  </si>
  <si>
    <t>助成金</t>
    <rPh sb="0" eb="3">
      <t>ジョセイキン</t>
    </rPh>
    <phoneticPr fontId="4"/>
  </si>
  <si>
    <t>円</t>
    <rPh sb="0" eb="1">
      <t>エン</t>
    </rPh>
    <phoneticPr fontId="4"/>
  </si>
  <si>
    <t>MJ/年</t>
    <rPh sb="3" eb="4">
      <t>ネン</t>
    </rPh>
    <phoneticPr fontId="4"/>
  </si>
  <si>
    <t>キャッシュフロー</t>
    <phoneticPr fontId="4"/>
  </si>
  <si>
    <r>
      <t>0</t>
    </r>
    <r>
      <rPr>
        <sz val="10"/>
        <color theme="1"/>
        <rFont val="ＭＳ Ｐゴシック"/>
        <family val="3"/>
        <charset val="128"/>
      </rPr>
      <t>年目</t>
    </r>
    <rPh sb="1" eb="3">
      <t>ネンメ</t>
    </rPh>
    <phoneticPr fontId="4"/>
  </si>
  <si>
    <r>
      <t>1</t>
    </r>
    <r>
      <rPr>
        <sz val="10"/>
        <color theme="1"/>
        <rFont val="ＭＳ Ｐゴシック"/>
        <family val="3"/>
        <charset val="128"/>
      </rPr>
      <t>年目</t>
    </r>
    <rPh sb="1" eb="3">
      <t>ネンメ</t>
    </rPh>
    <phoneticPr fontId="4"/>
  </si>
  <si>
    <r>
      <t>2年目</t>
    </r>
    <r>
      <rPr>
        <sz val="10"/>
        <color theme="1"/>
        <rFont val="ＭＳ Ｐゴシック"/>
        <family val="3"/>
        <charset val="128"/>
      </rPr>
      <t/>
    </r>
    <rPh sb="1" eb="3">
      <t>ネンメ</t>
    </rPh>
    <phoneticPr fontId="4"/>
  </si>
  <si>
    <r>
      <t>3年目</t>
    </r>
    <r>
      <rPr>
        <sz val="10"/>
        <color theme="1"/>
        <rFont val="ＭＳ Ｐゴシック"/>
        <family val="3"/>
        <charset val="128"/>
      </rPr>
      <t/>
    </r>
    <rPh sb="1" eb="3">
      <t>ネンメ</t>
    </rPh>
    <phoneticPr fontId="4"/>
  </si>
  <si>
    <r>
      <t>4年目</t>
    </r>
    <r>
      <rPr>
        <sz val="10"/>
        <color theme="1"/>
        <rFont val="ＭＳ Ｐゴシック"/>
        <family val="3"/>
        <charset val="128"/>
      </rPr>
      <t/>
    </r>
    <rPh sb="1" eb="3">
      <t>ネンメ</t>
    </rPh>
    <phoneticPr fontId="4"/>
  </si>
  <si>
    <r>
      <t>5年目</t>
    </r>
    <r>
      <rPr>
        <sz val="10"/>
        <color theme="1"/>
        <rFont val="ＭＳ Ｐゴシック"/>
        <family val="3"/>
        <charset val="128"/>
      </rPr>
      <t/>
    </r>
    <rPh sb="1" eb="3">
      <t>ネンメ</t>
    </rPh>
    <phoneticPr fontId="4"/>
  </si>
  <si>
    <r>
      <t>6年目</t>
    </r>
    <r>
      <rPr>
        <sz val="10"/>
        <color theme="1"/>
        <rFont val="ＭＳ Ｐゴシック"/>
        <family val="3"/>
        <charset val="128"/>
      </rPr>
      <t/>
    </r>
    <rPh sb="1" eb="3">
      <t>ネンメ</t>
    </rPh>
    <phoneticPr fontId="4"/>
  </si>
  <si>
    <r>
      <t>7年目</t>
    </r>
    <r>
      <rPr>
        <sz val="10"/>
        <color theme="1"/>
        <rFont val="ＭＳ Ｐゴシック"/>
        <family val="3"/>
        <charset val="128"/>
      </rPr>
      <t/>
    </r>
    <rPh sb="1" eb="3">
      <t>ネンメ</t>
    </rPh>
    <phoneticPr fontId="4"/>
  </si>
  <si>
    <r>
      <t>8年目</t>
    </r>
    <r>
      <rPr>
        <sz val="10"/>
        <color theme="1"/>
        <rFont val="ＭＳ Ｐゴシック"/>
        <family val="3"/>
        <charset val="128"/>
      </rPr>
      <t/>
    </r>
    <rPh sb="1" eb="3">
      <t>ネンメ</t>
    </rPh>
    <phoneticPr fontId="4"/>
  </si>
  <si>
    <r>
      <t>9年目</t>
    </r>
    <r>
      <rPr>
        <sz val="10"/>
        <color theme="1"/>
        <rFont val="ＭＳ Ｐゴシック"/>
        <family val="3"/>
        <charset val="128"/>
      </rPr>
      <t/>
    </r>
    <rPh sb="1" eb="3">
      <t>ネンメ</t>
    </rPh>
    <phoneticPr fontId="4"/>
  </si>
  <si>
    <r>
      <t>10年目</t>
    </r>
    <r>
      <rPr>
        <sz val="10"/>
        <color theme="1"/>
        <rFont val="ＭＳ Ｐゴシック"/>
        <family val="3"/>
        <charset val="128"/>
      </rPr>
      <t/>
    </r>
    <rPh sb="2" eb="4">
      <t>ネンメ</t>
    </rPh>
    <phoneticPr fontId="4"/>
  </si>
  <si>
    <r>
      <t>11年目</t>
    </r>
    <r>
      <rPr>
        <sz val="10"/>
        <color theme="1"/>
        <rFont val="ＭＳ Ｐゴシック"/>
        <family val="3"/>
        <charset val="128"/>
      </rPr>
      <t/>
    </r>
    <rPh sb="2" eb="4">
      <t>ネンメ</t>
    </rPh>
    <phoneticPr fontId="4"/>
  </si>
  <si>
    <r>
      <t>12年目</t>
    </r>
    <r>
      <rPr>
        <sz val="10"/>
        <color theme="1"/>
        <rFont val="ＭＳ Ｐゴシック"/>
        <family val="3"/>
        <charset val="128"/>
      </rPr>
      <t/>
    </r>
    <rPh sb="2" eb="4">
      <t>ネンメ</t>
    </rPh>
    <phoneticPr fontId="4"/>
  </si>
  <si>
    <r>
      <t>13年目</t>
    </r>
    <r>
      <rPr>
        <sz val="10"/>
        <color theme="1"/>
        <rFont val="ＭＳ Ｐゴシック"/>
        <family val="3"/>
        <charset val="128"/>
      </rPr>
      <t/>
    </r>
    <rPh sb="2" eb="4">
      <t>ネンメ</t>
    </rPh>
    <phoneticPr fontId="4"/>
  </si>
  <si>
    <r>
      <t>14年目</t>
    </r>
    <r>
      <rPr>
        <sz val="10"/>
        <color theme="1"/>
        <rFont val="ＭＳ Ｐゴシック"/>
        <family val="3"/>
        <charset val="128"/>
      </rPr>
      <t/>
    </r>
    <rPh sb="2" eb="4">
      <t>ネンメ</t>
    </rPh>
    <phoneticPr fontId="4"/>
  </si>
  <si>
    <r>
      <t>15年目</t>
    </r>
    <r>
      <rPr>
        <sz val="10"/>
        <color theme="1"/>
        <rFont val="ＭＳ Ｐゴシック"/>
        <family val="3"/>
        <charset val="128"/>
      </rPr>
      <t/>
    </r>
    <rPh sb="2" eb="4">
      <t>ネンメ</t>
    </rPh>
    <phoneticPr fontId="4"/>
  </si>
  <si>
    <r>
      <t>16年目</t>
    </r>
    <r>
      <rPr>
        <sz val="10"/>
        <color theme="1"/>
        <rFont val="ＭＳ Ｐゴシック"/>
        <family val="3"/>
        <charset val="128"/>
      </rPr>
      <t/>
    </r>
    <rPh sb="2" eb="4">
      <t>ネンメ</t>
    </rPh>
    <phoneticPr fontId="4"/>
  </si>
  <si>
    <r>
      <t>17年目</t>
    </r>
    <r>
      <rPr>
        <sz val="10"/>
        <color theme="1"/>
        <rFont val="ＭＳ Ｐゴシック"/>
        <family val="3"/>
        <charset val="128"/>
      </rPr>
      <t/>
    </r>
    <rPh sb="2" eb="4">
      <t>ネンメ</t>
    </rPh>
    <phoneticPr fontId="4"/>
  </si>
  <si>
    <r>
      <t>18年目</t>
    </r>
    <r>
      <rPr>
        <sz val="10"/>
        <color theme="1"/>
        <rFont val="ＭＳ Ｐゴシック"/>
        <family val="3"/>
        <charset val="128"/>
      </rPr>
      <t/>
    </r>
    <rPh sb="2" eb="4">
      <t>ネンメ</t>
    </rPh>
    <phoneticPr fontId="4"/>
  </si>
  <si>
    <r>
      <t>19年目</t>
    </r>
    <r>
      <rPr>
        <sz val="10"/>
        <color theme="1"/>
        <rFont val="ＭＳ Ｐゴシック"/>
        <family val="3"/>
        <charset val="128"/>
      </rPr>
      <t/>
    </r>
    <rPh sb="2" eb="4">
      <t>ネンメ</t>
    </rPh>
    <phoneticPr fontId="4"/>
  </si>
  <si>
    <r>
      <t>20年目</t>
    </r>
    <r>
      <rPr>
        <sz val="10"/>
        <color theme="1"/>
        <rFont val="ＭＳ Ｐゴシック"/>
        <family val="3"/>
        <charset val="128"/>
      </rPr>
      <t/>
    </r>
    <rPh sb="2" eb="4">
      <t>ネンメ</t>
    </rPh>
    <phoneticPr fontId="4"/>
  </si>
  <si>
    <r>
      <t>21年目</t>
    </r>
    <r>
      <rPr>
        <sz val="10"/>
        <color theme="1"/>
        <rFont val="ＭＳ Ｐゴシック"/>
        <family val="3"/>
        <charset val="128"/>
      </rPr>
      <t/>
    </r>
    <rPh sb="2" eb="4">
      <t>ネンメ</t>
    </rPh>
    <phoneticPr fontId="4"/>
  </si>
  <si>
    <r>
      <t>22年目</t>
    </r>
    <r>
      <rPr>
        <sz val="10"/>
        <color theme="1"/>
        <rFont val="ＭＳ Ｐゴシック"/>
        <family val="3"/>
        <charset val="128"/>
      </rPr>
      <t/>
    </r>
    <rPh sb="2" eb="4">
      <t>ネンメ</t>
    </rPh>
    <phoneticPr fontId="4"/>
  </si>
  <si>
    <r>
      <t>23年目</t>
    </r>
    <r>
      <rPr>
        <sz val="10"/>
        <color theme="1"/>
        <rFont val="ＭＳ Ｐゴシック"/>
        <family val="3"/>
        <charset val="128"/>
      </rPr>
      <t/>
    </r>
    <rPh sb="2" eb="4">
      <t>ネンメ</t>
    </rPh>
    <phoneticPr fontId="4"/>
  </si>
  <si>
    <r>
      <t>24年目</t>
    </r>
    <r>
      <rPr>
        <sz val="10"/>
        <color theme="1"/>
        <rFont val="ＭＳ Ｐゴシック"/>
        <family val="3"/>
        <charset val="128"/>
      </rPr>
      <t/>
    </r>
    <rPh sb="2" eb="4">
      <t>ネンメ</t>
    </rPh>
    <phoneticPr fontId="4"/>
  </si>
  <si>
    <r>
      <t>25年目</t>
    </r>
    <r>
      <rPr>
        <sz val="10"/>
        <color theme="1"/>
        <rFont val="ＭＳ Ｐゴシック"/>
        <family val="3"/>
        <charset val="128"/>
      </rPr>
      <t/>
    </r>
    <rPh sb="2" eb="4">
      <t>ネンメ</t>
    </rPh>
    <phoneticPr fontId="4"/>
  </si>
  <si>
    <r>
      <t>26年目</t>
    </r>
    <r>
      <rPr>
        <sz val="10"/>
        <color theme="1"/>
        <rFont val="ＭＳ Ｐゴシック"/>
        <family val="3"/>
        <charset val="128"/>
      </rPr>
      <t/>
    </r>
    <rPh sb="2" eb="4">
      <t>ネンメ</t>
    </rPh>
    <phoneticPr fontId="4"/>
  </si>
  <si>
    <r>
      <t>27年目</t>
    </r>
    <r>
      <rPr>
        <sz val="10"/>
        <color theme="1"/>
        <rFont val="ＭＳ Ｐゴシック"/>
        <family val="3"/>
        <charset val="128"/>
      </rPr>
      <t/>
    </r>
    <rPh sb="2" eb="4">
      <t>ネンメ</t>
    </rPh>
    <phoneticPr fontId="4"/>
  </si>
  <si>
    <r>
      <t>28年目</t>
    </r>
    <r>
      <rPr>
        <sz val="10"/>
        <color theme="1"/>
        <rFont val="ＭＳ Ｐゴシック"/>
        <family val="3"/>
        <charset val="128"/>
      </rPr>
      <t/>
    </r>
    <rPh sb="2" eb="4">
      <t>ネンメ</t>
    </rPh>
    <phoneticPr fontId="4"/>
  </si>
  <si>
    <r>
      <t>29年目</t>
    </r>
    <r>
      <rPr>
        <sz val="10"/>
        <color theme="1"/>
        <rFont val="ＭＳ Ｐゴシック"/>
        <family val="3"/>
        <charset val="128"/>
      </rPr>
      <t/>
    </r>
    <rPh sb="2" eb="4">
      <t>ネンメ</t>
    </rPh>
    <phoneticPr fontId="4"/>
  </si>
  <si>
    <r>
      <t>30年目</t>
    </r>
    <r>
      <rPr>
        <sz val="10"/>
        <color theme="1"/>
        <rFont val="ＭＳ Ｐゴシック"/>
        <family val="3"/>
        <charset val="128"/>
      </rPr>
      <t/>
    </r>
    <rPh sb="2" eb="4">
      <t>ネンメ</t>
    </rPh>
    <phoneticPr fontId="4"/>
  </si>
  <si>
    <t>○バイオマス事業概要</t>
    <rPh sb="6" eb="10">
      <t>ジギョウガイヨウ</t>
    </rPh>
    <phoneticPr fontId="5"/>
  </si>
  <si>
    <t>投資回収年数</t>
    <rPh sb="0" eb="4">
      <t>トウシカイシュウ</t>
    </rPh>
    <rPh sb="4" eb="6">
      <t>ネンスウ</t>
    </rPh>
    <phoneticPr fontId="4"/>
  </si>
  <si>
    <t>域内事業者収益</t>
    <rPh sb="5" eb="7">
      <t>シュウエキ</t>
    </rPh>
    <phoneticPr fontId="4"/>
  </si>
  <si>
    <t>事業性分析に
かかる指標</t>
    <rPh sb="0" eb="2">
      <t>ジギョウ</t>
    </rPh>
    <rPh sb="2" eb="3">
      <t>セイ</t>
    </rPh>
    <rPh sb="3" eb="5">
      <t>ブンセキ</t>
    </rPh>
    <rPh sb="10" eb="12">
      <t>シヒョウ</t>
    </rPh>
    <phoneticPr fontId="4"/>
  </si>
  <si>
    <r>
      <t>30</t>
    </r>
    <r>
      <rPr>
        <sz val="10"/>
        <color theme="1"/>
        <rFont val="ＭＳ Ｐゴシック"/>
        <family val="3"/>
        <charset val="128"/>
      </rPr>
      <t>年累計</t>
    </r>
    <rPh sb="2" eb="5">
      <t>ネンルイケイ</t>
    </rPh>
    <phoneticPr fontId="4"/>
  </si>
  <si>
    <t>設備費用</t>
    <rPh sb="0" eb="2">
      <t>セツビ</t>
    </rPh>
    <rPh sb="2" eb="4">
      <t>ヒヨウ</t>
    </rPh>
    <phoneticPr fontId="4"/>
  </si>
  <si>
    <t>固定費</t>
    <rPh sb="0" eb="3">
      <t>コテイヒ</t>
    </rPh>
    <phoneticPr fontId="4"/>
  </si>
  <si>
    <t>再エネ事業者</t>
    <rPh sb="0" eb="1">
      <t>サイ</t>
    </rPh>
    <rPh sb="3" eb="6">
      <t>ジギョウシャ</t>
    </rPh>
    <phoneticPr fontId="4"/>
  </si>
  <si>
    <t>現状の買取価格</t>
    <rPh sb="0" eb="2">
      <t>ゲンジョウ</t>
    </rPh>
    <rPh sb="3" eb="5">
      <t>カイトリ</t>
    </rPh>
    <rPh sb="5" eb="7">
      <t>カカク</t>
    </rPh>
    <phoneticPr fontId="4"/>
  </si>
  <si>
    <t>地域関連事業者の内訳1</t>
    <rPh sb="0" eb="2">
      <t>チイキ</t>
    </rPh>
    <rPh sb="2" eb="4">
      <t>カンレン</t>
    </rPh>
    <rPh sb="4" eb="7">
      <t>ジギョウシャ</t>
    </rPh>
    <rPh sb="8" eb="10">
      <t>ウチワケ</t>
    </rPh>
    <phoneticPr fontId="4"/>
  </si>
  <si>
    <t>地域関連事業者の内訳3</t>
    <rPh sb="0" eb="2">
      <t>チイキ</t>
    </rPh>
    <rPh sb="2" eb="4">
      <t>カンレン</t>
    </rPh>
    <rPh sb="4" eb="7">
      <t>ジギョウシャ</t>
    </rPh>
    <rPh sb="8" eb="10">
      <t>ウチワケ</t>
    </rPh>
    <phoneticPr fontId="4"/>
  </si>
  <si>
    <t>地域関連事業者の内訳2</t>
    <rPh sb="0" eb="2">
      <t>チイキ</t>
    </rPh>
    <rPh sb="2" eb="4">
      <t>カンレン</t>
    </rPh>
    <rPh sb="4" eb="7">
      <t>ジギョウシャ</t>
    </rPh>
    <rPh sb="8" eb="10">
      <t>ウチワケ</t>
    </rPh>
    <phoneticPr fontId="4"/>
  </si>
  <si>
    <t>地域外事業者割合：</t>
    <rPh sb="0" eb="3">
      <t>チイキガイ</t>
    </rPh>
    <rPh sb="3" eb="6">
      <t>ジギョウシャ</t>
    </rPh>
    <rPh sb="6" eb="8">
      <t>ワリアイ</t>
    </rPh>
    <phoneticPr fontId="4"/>
  </si>
  <si>
    <t>地域内事業者割合合計：</t>
    <rPh sb="0" eb="3">
      <t>チイキナイ</t>
    </rPh>
    <rPh sb="3" eb="6">
      <t>ジギョウシャ</t>
    </rPh>
    <rPh sb="6" eb="8">
      <t>ワリアイ</t>
    </rPh>
    <rPh sb="8" eb="10">
      <t>ゴウケイ</t>
    </rPh>
    <phoneticPr fontId="4"/>
  </si>
  <si>
    <t>地域経済性分析に係る指標</t>
    <rPh sb="0" eb="4">
      <t>チイキケイザイ</t>
    </rPh>
    <rPh sb="4" eb="5">
      <t>セイ</t>
    </rPh>
    <rPh sb="5" eb="7">
      <t>ブンセキ</t>
    </rPh>
    <rPh sb="8" eb="9">
      <t>カカ</t>
    </rPh>
    <rPh sb="10" eb="12">
      <t>シヒョウ</t>
    </rPh>
    <phoneticPr fontId="4"/>
  </si>
  <si>
    <t>＜名称を入力＞</t>
    <phoneticPr fontId="4"/>
  </si>
  <si>
    <t>単位：百万円</t>
    <rPh sb="0" eb="2">
      <t>タンイ</t>
    </rPh>
    <rPh sb="3" eb="5">
      <t>ヒャクマン</t>
    </rPh>
    <rPh sb="5" eb="6">
      <t>エン</t>
    </rPh>
    <phoneticPr fontId="4"/>
  </si>
  <si>
    <t>事業性・地域経済性評価ツール（インプット）</t>
    <rPh sb="0" eb="2">
      <t>ジギョウ</t>
    </rPh>
    <rPh sb="2" eb="3">
      <t>セイ</t>
    </rPh>
    <rPh sb="4" eb="8">
      <t>チイキケイザイ</t>
    </rPh>
    <rPh sb="8" eb="9">
      <t>セイ</t>
    </rPh>
    <rPh sb="9" eb="11">
      <t>ヒョウカ</t>
    </rPh>
    <phoneticPr fontId="4"/>
  </si>
  <si>
    <t>2 定格出力から計算</t>
  </si>
  <si>
    <r>
      <t>円</t>
    </r>
    <r>
      <rPr>
        <sz val="11"/>
        <color indexed="8"/>
        <rFont val="Arial"/>
        <family val="2"/>
      </rPr>
      <t>/</t>
    </r>
    <r>
      <rPr>
        <sz val="11"/>
        <color indexed="8"/>
        <rFont val="ＭＳ Ｐゴシック"/>
        <family val="3"/>
        <charset val="128"/>
      </rPr>
      <t>トン</t>
    </r>
    <rPh sb="0" eb="1">
      <t>エン</t>
    </rPh>
    <phoneticPr fontId="5"/>
  </si>
  <si>
    <t>トン/日</t>
    <rPh sb="3" eb="4">
      <t>ニチ</t>
    </rPh>
    <phoneticPr fontId="5"/>
  </si>
  <si>
    <r>
      <t>kWh/</t>
    </r>
    <r>
      <rPr>
        <sz val="10"/>
        <color theme="1"/>
        <rFont val="ＭＳ Ｐゴシック"/>
        <family val="3"/>
        <charset val="128"/>
      </rPr>
      <t>年</t>
    </r>
    <rPh sb="4" eb="5">
      <t>ネン</t>
    </rPh>
    <phoneticPr fontId="5"/>
  </si>
  <si>
    <t>発酵槽</t>
    <rPh sb="0" eb="3">
      <t>ハッコウソウ</t>
    </rPh>
    <phoneticPr fontId="4"/>
  </si>
  <si>
    <t>機械設備</t>
    <rPh sb="0" eb="4">
      <t>キカイセツビ</t>
    </rPh>
    <phoneticPr fontId="4"/>
  </si>
  <si>
    <t>発電機（275kW以下 25kWガスエンジン）</t>
    <rPh sb="0" eb="3">
      <t>ハツデンキ</t>
    </rPh>
    <rPh sb="9" eb="11">
      <t>イカ</t>
    </rPh>
    <phoneticPr fontId="4"/>
  </si>
  <si>
    <t>機械・電気設備</t>
    <rPh sb="0" eb="2">
      <t>キカイ</t>
    </rPh>
    <rPh sb="3" eb="7">
      <t>デンキセツビ</t>
    </rPh>
    <phoneticPr fontId="4"/>
  </si>
  <si>
    <t>発電機（276kW以上 ガスエンジン）</t>
    <rPh sb="0" eb="3">
      <t>ハツデンキ</t>
    </rPh>
    <rPh sb="9" eb="10">
      <t>イ</t>
    </rPh>
    <phoneticPr fontId="4"/>
  </si>
  <si>
    <t>機械・電機</t>
    <rPh sb="0" eb="2">
      <t>キカイ</t>
    </rPh>
    <rPh sb="3" eb="5">
      <t>デンキ</t>
    </rPh>
    <phoneticPr fontId="4"/>
  </si>
  <si>
    <t>土木・建築</t>
    <rPh sb="0" eb="2">
      <t>ドボク</t>
    </rPh>
    <rPh sb="3" eb="5">
      <t>ケンチク</t>
    </rPh>
    <phoneticPr fontId="4"/>
  </si>
  <si>
    <t>混合設備</t>
    <rPh sb="0" eb="2">
      <t>コンゴウ</t>
    </rPh>
    <rPh sb="2" eb="4">
      <t>セツビ</t>
    </rPh>
    <phoneticPr fontId="4"/>
  </si>
  <si>
    <t>電気設備</t>
    <rPh sb="0" eb="4">
      <t>デンキセツビ</t>
    </rPh>
    <phoneticPr fontId="4"/>
  </si>
  <si>
    <t>建築</t>
    <rPh sb="0" eb="2">
      <t>ケンチク</t>
    </rPh>
    <phoneticPr fontId="4"/>
  </si>
  <si>
    <t>ガスホルダー</t>
    <phoneticPr fontId="4"/>
  </si>
  <si>
    <t>ボイラー</t>
    <phoneticPr fontId="4"/>
  </si>
  <si>
    <t>消化液貯留槽</t>
    <rPh sb="0" eb="3">
      <t>ショウカエキ</t>
    </rPh>
    <rPh sb="3" eb="6">
      <t>チョリュウソウ</t>
    </rPh>
    <phoneticPr fontId="4"/>
  </si>
  <si>
    <t>液肥散布車両</t>
    <rPh sb="0" eb="2">
      <t>エキヒ</t>
    </rPh>
    <rPh sb="2" eb="4">
      <t>サンプ</t>
    </rPh>
    <rPh sb="4" eb="6">
      <t>シャリョウ</t>
    </rPh>
    <phoneticPr fontId="4"/>
  </si>
  <si>
    <t>破砕機＋選別装置、脱硫装置、脱臭装置、余剰ガス燃焼装置</t>
    <rPh sb="0" eb="3">
      <t>ハサイキ</t>
    </rPh>
    <rPh sb="4" eb="6">
      <t>センベツ</t>
    </rPh>
    <rPh sb="6" eb="8">
      <t>ソウチ</t>
    </rPh>
    <rPh sb="9" eb="11">
      <t>ダツリュウ</t>
    </rPh>
    <rPh sb="11" eb="13">
      <t>ソウチ</t>
    </rPh>
    <rPh sb="14" eb="16">
      <t>ダッシュウ</t>
    </rPh>
    <rPh sb="16" eb="18">
      <t>ソウチ</t>
    </rPh>
    <rPh sb="19" eb="21">
      <t>ヨジョウ</t>
    </rPh>
    <rPh sb="23" eb="25">
      <t>ネンショウ</t>
    </rPh>
    <rPh sb="25" eb="27">
      <t>ソウチ</t>
    </rPh>
    <phoneticPr fontId="4"/>
  </si>
  <si>
    <t>水処理に必要な設備（水処理設備、固液分離装置等）</t>
    <rPh sb="0" eb="3">
      <t>ミズショリ</t>
    </rPh>
    <rPh sb="4" eb="6">
      <t>ヒツヨウ</t>
    </rPh>
    <rPh sb="7" eb="9">
      <t>セツビ</t>
    </rPh>
    <rPh sb="10" eb="15">
      <t>ミズショリセツビ</t>
    </rPh>
    <rPh sb="16" eb="22">
      <t>コエキブンリソウチ</t>
    </rPh>
    <rPh sb="22" eb="23">
      <t>ナド</t>
    </rPh>
    <phoneticPr fontId="4"/>
  </si>
  <si>
    <t>t/日</t>
    <rPh sb="2" eb="3">
      <t>ニチ</t>
    </rPh>
    <phoneticPr fontId="4"/>
  </si>
  <si>
    <t>kW</t>
    <phoneticPr fontId="4"/>
  </si>
  <si>
    <t>設備など全般</t>
    <rPh sb="0" eb="2">
      <t>セツビ</t>
    </rPh>
    <rPh sb="4" eb="6">
      <t>ゼンパン</t>
    </rPh>
    <phoneticPr fontId="4"/>
  </si>
  <si>
    <t>車両など</t>
    <rPh sb="0" eb="2">
      <t>シャリョウ</t>
    </rPh>
    <phoneticPr fontId="4"/>
  </si>
  <si>
    <t>O&amp;M</t>
    <phoneticPr fontId="4"/>
  </si>
  <si>
    <t>維持管理費</t>
    <rPh sb="0" eb="4">
      <t>イジカンリ</t>
    </rPh>
    <phoneticPr fontId="4"/>
  </si>
  <si>
    <t>電力費</t>
    <rPh sb="0" eb="2">
      <t>デンリョク</t>
    </rPh>
    <rPh sb="2" eb="3">
      <t>ヒ</t>
    </rPh>
    <phoneticPr fontId="4"/>
  </si>
  <si>
    <t>補修費</t>
    <rPh sb="0" eb="3">
      <t>ホシュウヒ</t>
    </rPh>
    <phoneticPr fontId="4"/>
  </si>
  <si>
    <t>維持管理費</t>
    <rPh sb="0" eb="4">
      <t>イジカンリ</t>
    </rPh>
    <rPh sb="4" eb="5">
      <t>ヒ</t>
    </rPh>
    <phoneticPr fontId="4"/>
  </si>
  <si>
    <t>食品廃棄物</t>
    <rPh sb="0" eb="5">
      <t>ショクヒンハイキブツ</t>
    </rPh>
    <phoneticPr fontId="4"/>
  </si>
  <si>
    <t>紙系廃棄物</t>
    <rPh sb="0" eb="1">
      <t>カミ</t>
    </rPh>
    <rPh sb="1" eb="2">
      <t>ケイ</t>
    </rPh>
    <rPh sb="2" eb="5">
      <t>ハイキブツ</t>
    </rPh>
    <phoneticPr fontId="4"/>
  </si>
  <si>
    <t>草木系廃棄物</t>
    <rPh sb="0" eb="2">
      <t>ソウボク</t>
    </rPh>
    <rPh sb="2" eb="3">
      <t>ケイ</t>
    </rPh>
    <rPh sb="3" eb="6">
      <t>ハイキブツ</t>
    </rPh>
    <phoneticPr fontId="4"/>
  </si>
  <si>
    <t>豚排泄物</t>
    <rPh sb="0" eb="1">
      <t>ブタ</t>
    </rPh>
    <rPh sb="1" eb="4">
      <t>ハイセツブツ</t>
    </rPh>
    <phoneticPr fontId="4"/>
  </si>
  <si>
    <t>乳牛排泄物</t>
    <rPh sb="0" eb="2">
      <t>ニュウギュウ</t>
    </rPh>
    <rPh sb="2" eb="5">
      <t>ハイセツブツ</t>
    </rPh>
    <phoneticPr fontId="4"/>
  </si>
  <si>
    <t>下水汚泥（濃縮汚泥）</t>
    <rPh sb="0" eb="4">
      <t>ゲスイオデイ</t>
    </rPh>
    <rPh sb="5" eb="7">
      <t>ノウシュク</t>
    </rPh>
    <rPh sb="7" eb="9">
      <t>オデイ</t>
    </rPh>
    <phoneticPr fontId="4"/>
  </si>
  <si>
    <t>メタンガス発生効率</t>
    <rPh sb="5" eb="7">
      <t>ハッセイ</t>
    </rPh>
    <rPh sb="7" eb="9">
      <t>コウリツ</t>
    </rPh>
    <phoneticPr fontId="4"/>
  </si>
  <si>
    <t>Nm3/t-VS</t>
    <phoneticPr fontId="4"/>
  </si>
  <si>
    <t>kg/kg</t>
    <phoneticPr fontId="4"/>
  </si>
  <si>
    <t>年間処理量</t>
    <rPh sb="0" eb="2">
      <t>ネンカン</t>
    </rPh>
    <rPh sb="2" eb="5">
      <t>ショリリョウ</t>
    </rPh>
    <phoneticPr fontId="4"/>
  </si>
  <si>
    <t>→</t>
    <phoneticPr fontId="4"/>
  </si>
  <si>
    <t>メタンガス発生量</t>
    <rPh sb="5" eb="8">
      <t>ハッセイリョウ</t>
    </rPh>
    <phoneticPr fontId="4"/>
  </si>
  <si>
    <t>ｔ/日</t>
    <rPh sb="2" eb="3">
      <t>ニチ</t>
    </rPh>
    <phoneticPr fontId="4"/>
  </si>
  <si>
    <t>含水量</t>
    <rPh sb="0" eb="3">
      <t>ガンスイリョウ</t>
    </rPh>
    <phoneticPr fontId="4"/>
  </si>
  <si>
    <t>①廃棄物の入力による混合ガスの計算</t>
    <rPh sb="1" eb="4">
      <t>ハイキブツ</t>
    </rPh>
    <rPh sb="5" eb="7">
      <t>ニュウリョク</t>
    </rPh>
    <rPh sb="10" eb="12">
      <t>コンゴウ</t>
    </rPh>
    <rPh sb="15" eb="17">
      <t>ケイサン</t>
    </rPh>
    <phoneticPr fontId="4"/>
  </si>
  <si>
    <t>Nm3/日</t>
    <phoneticPr fontId="4"/>
  </si>
  <si>
    <t>t/日</t>
    <phoneticPr fontId="4"/>
  </si>
  <si>
    <t>含水率</t>
    <rPh sb="0" eb="3">
      <t>ガンスイリツ</t>
    </rPh>
    <phoneticPr fontId="4"/>
  </si>
  <si>
    <t>Nm3/t</t>
    <phoneticPr fontId="4"/>
  </si>
  <si>
    <t>混合原料の物性</t>
    <rPh sb="0" eb="2">
      <t>コンゴウ</t>
    </rPh>
    <rPh sb="2" eb="4">
      <t>ゲンリョウ</t>
    </rPh>
    <rPh sb="5" eb="7">
      <t>ブッセイ</t>
    </rPh>
    <phoneticPr fontId="4"/>
  </si>
  <si>
    <t>原料あたりのメタンガス発生量</t>
    <rPh sb="0" eb="2">
      <t>ゲンリョウ</t>
    </rPh>
    <rPh sb="11" eb="14">
      <t>ハッセイリョウ</t>
    </rPh>
    <phoneticPr fontId="4"/>
  </si>
  <si>
    <t>②出力の決定</t>
    <rPh sb="1" eb="3">
      <t>シュツリョク</t>
    </rPh>
    <rPh sb="4" eb="6">
      <t>ケッテイ</t>
    </rPh>
    <phoneticPr fontId="4"/>
  </si>
  <si>
    <t>1時間あたりガス発生量</t>
    <rPh sb="1" eb="3">
      <t>ジカン</t>
    </rPh>
    <rPh sb="8" eb="10">
      <t>ハッセイ</t>
    </rPh>
    <rPh sb="10" eb="11">
      <t>リョウ</t>
    </rPh>
    <phoneticPr fontId="4"/>
  </si>
  <si>
    <t>発電出力</t>
    <rPh sb="0" eb="4">
      <t>ハツデンシュツリョク</t>
    </rPh>
    <phoneticPr fontId="4"/>
  </si>
  <si>
    <t>発電効率</t>
    <rPh sb="0" eb="2">
      <t>ハツデン</t>
    </rPh>
    <rPh sb="2" eb="4">
      <t>コウリツ</t>
    </rPh>
    <phoneticPr fontId="4"/>
  </si>
  <si>
    <t>熱効率</t>
    <rPh sb="0" eb="3">
      <t>ネツコウリツ</t>
    </rPh>
    <phoneticPr fontId="4"/>
  </si>
  <si>
    <t>熱出力</t>
    <rPh sb="0" eb="1">
      <t>ネツ</t>
    </rPh>
    <rPh sb="1" eb="3">
      <t>シュツリョク</t>
    </rPh>
    <phoneticPr fontId="4"/>
  </si>
  <si>
    <t>メタン熱量</t>
    <rPh sb="3" eb="4">
      <t>ネツ</t>
    </rPh>
    <rPh sb="4" eb="5">
      <t>リョウ</t>
    </rPh>
    <phoneticPr fontId="4"/>
  </si>
  <si>
    <t>MJ/Nm3</t>
    <phoneticPr fontId="4"/>
  </si>
  <si>
    <t>適正含水率</t>
    <rPh sb="0" eb="2">
      <t>テキセイ</t>
    </rPh>
    <rPh sb="2" eb="5">
      <t>ガンスイリツ</t>
    </rPh>
    <phoneticPr fontId="4"/>
  </si>
  <si>
    <t>湿式</t>
    <rPh sb="0" eb="2">
      <t>シッシキ</t>
    </rPh>
    <phoneticPr fontId="4"/>
  </si>
  <si>
    <t>乾式</t>
    <rPh sb="0" eb="2">
      <t>カンシキ</t>
    </rPh>
    <phoneticPr fontId="4"/>
  </si>
  <si>
    <t>90~95%</t>
    <phoneticPr fontId="4"/>
  </si>
  <si>
    <t>60~85%</t>
    <phoneticPr fontId="4"/>
  </si>
  <si>
    <t>混合原料</t>
    <rPh sb="0" eb="2">
      <t>コンゴウ</t>
    </rPh>
    <rPh sb="2" eb="4">
      <t>ゲンリョウ</t>
    </rPh>
    <phoneticPr fontId="4"/>
  </si>
  <si>
    <t>希釈水重量</t>
    <rPh sb="0" eb="2">
      <t>キシャク</t>
    </rPh>
    <rPh sb="2" eb="3">
      <t>スイ</t>
    </rPh>
    <rPh sb="3" eb="5">
      <t>ジュウリョウ</t>
    </rPh>
    <phoneticPr fontId="4"/>
  </si>
  <si>
    <t>→含水率10%になるように希釈</t>
    <rPh sb="1" eb="4">
      <t>ガンスイリツ</t>
    </rPh>
    <rPh sb="13" eb="15">
      <t>キシャク</t>
    </rPh>
    <phoneticPr fontId="4"/>
  </si>
  <si>
    <t>汚泥滞留時間</t>
    <rPh sb="0" eb="2">
      <t>オデイ</t>
    </rPh>
    <rPh sb="2" eb="6">
      <t>タイリュウジカン</t>
    </rPh>
    <phoneticPr fontId="4"/>
  </si>
  <si>
    <t>日間</t>
    <rPh sb="0" eb="2">
      <t>ニチカン</t>
    </rPh>
    <phoneticPr fontId="4"/>
  </si>
  <si>
    <t>希釈混合原料密度</t>
    <rPh sb="0" eb="2">
      <t>キシャク</t>
    </rPh>
    <rPh sb="2" eb="4">
      <t>コンゴウ</t>
    </rPh>
    <rPh sb="4" eb="6">
      <t>ゲンリョウ</t>
    </rPh>
    <rPh sb="6" eb="8">
      <t>ミツド</t>
    </rPh>
    <phoneticPr fontId="4"/>
  </si>
  <si>
    <t>t/m3</t>
    <phoneticPr fontId="4"/>
  </si>
  <si>
    <t>③設備規模に係る諸元</t>
    <rPh sb="1" eb="3">
      <t>セツビ</t>
    </rPh>
    <rPh sb="3" eb="5">
      <t>キボ</t>
    </rPh>
    <rPh sb="6" eb="7">
      <t>カカ</t>
    </rPh>
    <rPh sb="8" eb="10">
      <t>ショゲン</t>
    </rPh>
    <phoneticPr fontId="4"/>
  </si>
  <si>
    <t>④設備規模の決定</t>
    <rPh sb="1" eb="3">
      <t>セツビ</t>
    </rPh>
    <rPh sb="3" eb="5">
      <t>キボ</t>
    </rPh>
    <rPh sb="6" eb="8">
      <t>ケッテイ</t>
    </rPh>
    <phoneticPr fontId="4"/>
  </si>
  <si>
    <t>希釈混合原料重量</t>
    <rPh sb="0" eb="6">
      <t>キシャクコンゴウ</t>
    </rPh>
    <rPh sb="6" eb="8">
      <t>ジュウリョウ</t>
    </rPh>
    <phoneticPr fontId="4"/>
  </si>
  <si>
    <t>想定値</t>
    <rPh sb="0" eb="2">
      <t>ソウテイ</t>
    </rPh>
    <rPh sb="2" eb="3">
      <t>チ</t>
    </rPh>
    <phoneticPr fontId="4"/>
  </si>
  <si>
    <t>想定値（24h分）</t>
    <rPh sb="0" eb="2">
      <t>ソウテイ</t>
    </rPh>
    <rPh sb="2" eb="3">
      <t>チ</t>
    </rPh>
    <rPh sb="7" eb="8">
      <t>ブン</t>
    </rPh>
    <phoneticPr fontId="4"/>
  </si>
  <si>
    <t>Nm3</t>
    <phoneticPr fontId="4"/>
  </si>
  <si>
    <t>ガス貯留量</t>
    <rPh sb="2" eb="5">
      <t>チョリュウリョウ</t>
    </rPh>
    <phoneticPr fontId="4"/>
  </si>
  <si>
    <t>引取価格</t>
    <rPh sb="0" eb="2">
      <t>ヒキトリ</t>
    </rPh>
    <rPh sb="2" eb="4">
      <t>カカク</t>
    </rPh>
    <phoneticPr fontId="4"/>
  </si>
  <si>
    <t>工事費</t>
    <rPh sb="0" eb="3">
      <t>コウジヒ</t>
    </rPh>
    <phoneticPr fontId="4"/>
  </si>
  <si>
    <t>廃棄物種類</t>
    <rPh sb="0" eb="3">
      <t>ハイキブツ</t>
    </rPh>
    <rPh sb="3" eb="5">
      <t>シュルイ</t>
    </rPh>
    <phoneticPr fontId="5"/>
  </si>
  <si>
    <t>受入量</t>
    <rPh sb="0" eb="2">
      <t>ウケイレ</t>
    </rPh>
    <rPh sb="2" eb="3">
      <t>リョウ</t>
    </rPh>
    <phoneticPr fontId="4"/>
  </si>
  <si>
    <t>受入価格</t>
    <rPh sb="0" eb="2">
      <t>ウケイ</t>
    </rPh>
    <rPh sb="2" eb="4">
      <t>カカク</t>
    </rPh>
    <phoneticPr fontId="4"/>
  </si>
  <si>
    <t>売電価格</t>
    <rPh sb="0" eb="2">
      <t>バイデン</t>
    </rPh>
    <rPh sb="2" eb="4">
      <t>カカク</t>
    </rPh>
    <phoneticPr fontId="4"/>
  </si>
  <si>
    <t>年間稼働日数</t>
    <rPh sb="0" eb="2">
      <t>ネンカン</t>
    </rPh>
    <rPh sb="2" eb="4">
      <t>カドウ</t>
    </rPh>
    <rPh sb="4" eb="6">
      <t>ニッスウ</t>
    </rPh>
    <phoneticPr fontId="4"/>
  </si>
  <si>
    <t>日</t>
    <rPh sb="0" eb="1">
      <t>ニチ</t>
    </rPh>
    <phoneticPr fontId="4"/>
  </si>
  <si>
    <t>設備費</t>
    <rPh sb="0" eb="2">
      <t>セツビ</t>
    </rPh>
    <phoneticPr fontId="4"/>
  </si>
  <si>
    <t>固定資産税等</t>
    <rPh sb="0" eb="5">
      <t>コテイシサンゼイ</t>
    </rPh>
    <rPh sb="5" eb="6">
      <t>ナド</t>
    </rPh>
    <phoneticPr fontId="4"/>
  </si>
  <si>
    <t>その他収益</t>
    <rPh sb="2" eb="3">
      <t>タ</t>
    </rPh>
    <rPh sb="3" eb="5">
      <t>シュウエキ</t>
    </rPh>
    <phoneticPr fontId="5"/>
  </si>
  <si>
    <t>百万円</t>
    <rPh sb="0" eb="3">
      <t>ヒャクマンエン</t>
    </rPh>
    <phoneticPr fontId="4"/>
  </si>
  <si>
    <t>単位</t>
    <rPh sb="0" eb="2">
      <t>タンイ</t>
    </rPh>
    <phoneticPr fontId="4"/>
  </si>
  <si>
    <t>経済性</t>
    <rPh sb="0" eb="3">
      <t>ケイザイセイ</t>
    </rPh>
    <phoneticPr fontId="4"/>
  </si>
  <si>
    <t>発電コスト</t>
    <rPh sb="0" eb="2">
      <t>ハツデン</t>
    </rPh>
    <phoneticPr fontId="4"/>
  </si>
  <si>
    <t>販売熱コスト</t>
    <rPh sb="0" eb="2">
      <t>ハンバイ</t>
    </rPh>
    <rPh sb="2" eb="3">
      <t>ネツ</t>
    </rPh>
    <phoneticPr fontId="4"/>
  </si>
  <si>
    <t>【結果】20年間のバイオマス事業の効果</t>
    <rPh sb="1" eb="3">
      <t>ケッカ</t>
    </rPh>
    <rPh sb="6" eb="8">
      <t>ネンカン</t>
    </rPh>
    <rPh sb="14" eb="16">
      <t>ジギョウ</t>
    </rPh>
    <rPh sb="17" eb="19">
      <t>コウカ</t>
    </rPh>
    <phoneticPr fontId="4"/>
  </si>
  <si>
    <t>地域経済効果（次頁）</t>
    <rPh sb="0" eb="4">
      <t>チイキケイザイ</t>
    </rPh>
    <rPh sb="4" eb="6">
      <t>コウカ</t>
    </rPh>
    <rPh sb="7" eb="9">
      <t>ジページ</t>
    </rPh>
    <phoneticPr fontId="4"/>
  </si>
  <si>
    <t>事業収入</t>
    <rPh sb="0" eb="4">
      <t>ジギョウシュウニュウ</t>
    </rPh>
    <phoneticPr fontId="4"/>
  </si>
  <si>
    <t>地域経済効果
＋事業収入</t>
    <rPh sb="0" eb="4">
      <t>チイキケイザイ</t>
    </rPh>
    <rPh sb="4" eb="6">
      <t>コウカ</t>
    </rPh>
    <rPh sb="8" eb="12">
      <t>ジギョウシュウニュウ</t>
    </rPh>
    <phoneticPr fontId="4"/>
  </si>
  <si>
    <t>投資額</t>
    <rPh sb="0" eb="3">
      <t>トウシガク</t>
    </rPh>
    <phoneticPr fontId="4"/>
  </si>
  <si>
    <t>CO2削減効果
（化石燃料代替分）</t>
    <rPh sb="3" eb="7">
      <t>サクゲンコウカ</t>
    </rPh>
    <rPh sb="9" eb="13">
      <t>カセキネンリョウ</t>
    </rPh>
    <rPh sb="13" eb="15">
      <t>ダイタイ</t>
    </rPh>
    <rPh sb="15" eb="16">
      <t>ブン</t>
    </rPh>
    <phoneticPr fontId="4"/>
  </si>
  <si>
    <t>投資回収年数</t>
    <rPh sb="0" eb="4">
      <t>トウシカイシュウ</t>
    </rPh>
    <rPh sb="4" eb="6">
      <t>ネンスウ</t>
    </rPh>
    <phoneticPr fontId="4"/>
  </si>
  <si>
    <t>発電量</t>
    <rPh sb="0" eb="3">
      <t>ハツデンリョウ</t>
    </rPh>
    <phoneticPr fontId="4"/>
  </si>
  <si>
    <t>地域経済効果</t>
    <rPh sb="0" eb="6">
      <t>チイキケイ</t>
    </rPh>
    <phoneticPr fontId="4"/>
  </si>
  <si>
    <t>○計算条件の想定</t>
    <rPh sb="1" eb="3">
      <t>ケイサン</t>
    </rPh>
    <rPh sb="3" eb="5">
      <t>ジョウケン</t>
    </rPh>
    <rPh sb="6" eb="8">
      <t>ソウテイ</t>
    </rPh>
    <phoneticPr fontId="4"/>
  </si>
  <si>
    <t>受入れ原料によるメタン発生量</t>
    <rPh sb="0" eb="2">
      <t>ウケイ</t>
    </rPh>
    <rPh sb="3" eb="5">
      <t>ゲンリョウ</t>
    </rPh>
    <rPh sb="11" eb="14">
      <t>ハッセイリョウ</t>
    </rPh>
    <phoneticPr fontId="4"/>
  </si>
  <si>
    <r>
      <rPr>
        <sz val="14"/>
        <color theme="1"/>
        <rFont val="ＭＳ Ｐゴシック"/>
        <family val="3"/>
        <charset val="128"/>
      </rPr>
      <t>円</t>
    </r>
    <r>
      <rPr>
        <sz val="14"/>
        <color theme="1"/>
        <rFont val="Arial"/>
        <family val="2"/>
      </rPr>
      <t>/kWh</t>
    </r>
    <rPh sb="0" eb="1">
      <t>エン</t>
    </rPh>
    <phoneticPr fontId="4"/>
  </si>
  <si>
    <t>t-CO2</t>
    <phoneticPr fontId="4"/>
  </si>
  <si>
    <r>
      <t>CO2</t>
    </r>
    <r>
      <rPr>
        <sz val="12"/>
        <color theme="1"/>
        <rFont val="ＭＳ Ｐゴシック"/>
        <family val="3"/>
        <charset val="128"/>
      </rPr>
      <t>削減効果（化石燃料代替分）</t>
    </r>
    <rPh sb="3" eb="7">
      <t>サクゲンコウカ</t>
    </rPh>
    <rPh sb="8" eb="12">
      <t>カセキネンリョウ</t>
    </rPh>
    <rPh sb="12" eb="14">
      <t>ダイタイ</t>
    </rPh>
    <rPh sb="14" eb="15">
      <t>ブン</t>
    </rPh>
    <phoneticPr fontId="4"/>
  </si>
  <si>
    <t>廃棄物受入収入</t>
    <rPh sb="0" eb="3">
      <t>ハイキブツ</t>
    </rPh>
    <rPh sb="3" eb="5">
      <t>ウケイ</t>
    </rPh>
    <rPh sb="5" eb="7">
      <t>シュウニュウ</t>
    </rPh>
    <phoneticPr fontId="4"/>
  </si>
  <si>
    <r>
      <rPr>
        <sz val="14"/>
        <color theme="1"/>
        <rFont val="ＭＳ Ｐゴシック"/>
        <family val="3"/>
        <charset val="128"/>
      </rPr>
      <t>百万円</t>
    </r>
    <r>
      <rPr>
        <sz val="14"/>
        <color theme="1"/>
        <rFont val="Arial"/>
        <family val="2"/>
      </rPr>
      <t>/</t>
    </r>
    <r>
      <rPr>
        <sz val="14"/>
        <color theme="1"/>
        <rFont val="ＭＳ Ｐゴシック"/>
        <family val="3"/>
        <charset val="128"/>
      </rPr>
      <t>年</t>
    </r>
    <rPh sb="0" eb="3">
      <t>ヒャクマンエン</t>
    </rPh>
    <rPh sb="4" eb="5">
      <t>ネン</t>
    </rPh>
    <phoneticPr fontId="4"/>
  </si>
  <si>
    <t>百万円</t>
    <rPh sb="0" eb="3">
      <t>ヒャクマンエン</t>
    </rPh>
    <phoneticPr fontId="4"/>
  </si>
  <si>
    <t>従来価格</t>
    <rPh sb="0" eb="2">
      <t>ジュウライ</t>
    </rPh>
    <rPh sb="2" eb="4">
      <t>カカク</t>
    </rPh>
    <phoneticPr fontId="4"/>
  </si>
  <si>
    <t>事業モデルでの想定</t>
    <rPh sb="0" eb="2">
      <t>ジギョウ</t>
    </rPh>
    <rPh sb="7" eb="9">
      <t>ソウテイ</t>
    </rPh>
    <phoneticPr fontId="5"/>
  </si>
  <si>
    <t>【入力】事業開始に伴う資金調達の内訳</t>
    <rPh sb="1" eb="3">
      <t>ニュウリョク</t>
    </rPh>
    <rPh sb="4" eb="8">
      <t>ジギョウカイシ</t>
    </rPh>
    <rPh sb="9" eb="10">
      <t>トモナ</t>
    </rPh>
    <rPh sb="11" eb="15">
      <t>シキンチョウタツ</t>
    </rPh>
    <rPh sb="16" eb="18">
      <t>ウチワケ</t>
    </rPh>
    <phoneticPr fontId="5"/>
  </si>
  <si>
    <t>地域内スポンサー出資</t>
    <rPh sb="0" eb="2">
      <t>チイキ</t>
    </rPh>
    <rPh sb="2" eb="3">
      <t>ナイ</t>
    </rPh>
    <rPh sb="8" eb="10">
      <t>シュッシ</t>
    </rPh>
    <phoneticPr fontId="4"/>
  </si>
  <si>
    <t>地域外スポンサー出資</t>
    <rPh sb="0" eb="2">
      <t>チイキ</t>
    </rPh>
    <rPh sb="2" eb="3">
      <t>ガイ</t>
    </rPh>
    <rPh sb="8" eb="10">
      <t>シュッシ</t>
    </rPh>
    <phoneticPr fontId="4"/>
  </si>
  <si>
    <t>①バイオマス事業者の最終利益（地域外配当減算後）</t>
    <phoneticPr fontId="4"/>
  </si>
  <si>
    <t>②建設関連における地域内事業者利益</t>
    <phoneticPr fontId="4"/>
  </si>
  <si>
    <t>③運転・維持関連における地域内事業者利益</t>
    <phoneticPr fontId="4"/>
  </si>
  <si>
    <t>バイオマス事業者</t>
    <phoneticPr fontId="4"/>
  </si>
  <si>
    <t>域内事業者</t>
    <phoneticPr fontId="4"/>
  </si>
  <si>
    <t>地域内金融機関</t>
    <rPh sb="0" eb="2">
      <t>チイキ</t>
    </rPh>
    <rPh sb="2" eb="3">
      <t>ナイ</t>
    </rPh>
    <rPh sb="3" eb="5">
      <t>キンユウ</t>
    </rPh>
    <rPh sb="5" eb="7">
      <t>キカン</t>
    </rPh>
    <phoneticPr fontId="4"/>
  </si>
  <si>
    <t>地域外金融機関</t>
    <rPh sb="0" eb="3">
      <t>チイキガイ</t>
    </rPh>
    <rPh sb="3" eb="7">
      <t>キンユウキカン</t>
    </rPh>
    <phoneticPr fontId="4"/>
  </si>
  <si>
    <t>②建設関連事業者</t>
    <rPh sb="1" eb="3">
      <t>ケンセツ</t>
    </rPh>
    <rPh sb="3" eb="5">
      <t>カンレン</t>
    </rPh>
    <rPh sb="5" eb="8">
      <t>ジギョウシャ</t>
    </rPh>
    <phoneticPr fontId="4"/>
  </si>
  <si>
    <t>①バイオマス事業者
（地域内配当）</t>
    <rPh sb="6" eb="9">
      <t>ジギョウシャ</t>
    </rPh>
    <rPh sb="11" eb="14">
      <t>チイキナイ</t>
    </rPh>
    <rPh sb="14" eb="16">
      <t>ハイトウ</t>
    </rPh>
    <phoneticPr fontId="4"/>
  </si>
  <si>
    <t>③運転維持事業者</t>
    <rPh sb="1" eb="5">
      <t>ウンテン</t>
    </rPh>
    <rPh sb="5" eb="8">
      <t>ジギョウシャ</t>
    </rPh>
    <phoneticPr fontId="4"/>
  </si>
  <si>
    <t>④雇用効果</t>
    <rPh sb="1" eb="3">
      <t>コヨウ</t>
    </rPh>
    <rPh sb="3" eb="5">
      <t>コウカ</t>
    </rPh>
    <phoneticPr fontId="4"/>
  </si>
  <si>
    <t>⑤地方税</t>
    <rPh sb="1" eb="4">
      <t>チホウゼイ</t>
    </rPh>
    <phoneticPr fontId="4"/>
  </si>
  <si>
    <t>⑥廃棄物処理費用
削減効果</t>
    <rPh sb="1" eb="4">
      <t>ハイキブツ</t>
    </rPh>
    <rPh sb="4" eb="6">
      <t>ショリ</t>
    </rPh>
    <rPh sb="6" eb="8">
      <t>ヒヨウ</t>
    </rPh>
    <rPh sb="9" eb="11">
      <t>サクゲン</t>
    </rPh>
    <rPh sb="11" eb="13">
      <t>コウカ</t>
    </rPh>
    <phoneticPr fontId="4"/>
  </si>
  <si>
    <t>⑦エネルギー費用
削減効果</t>
    <rPh sb="6" eb="8">
      <t>ヒヨウ</t>
    </rPh>
    <rPh sb="9" eb="11">
      <t>サクゲン</t>
    </rPh>
    <rPh sb="11" eb="13">
      <t>コウカ</t>
    </rPh>
    <phoneticPr fontId="4"/>
  </si>
  <si>
    <r>
      <t>0</t>
    </r>
    <r>
      <rPr>
        <sz val="9"/>
        <color theme="1"/>
        <rFont val="ＭＳ Ｐゴシック"/>
        <family val="3"/>
        <charset val="128"/>
      </rPr>
      <t>年目</t>
    </r>
    <rPh sb="1" eb="3">
      <t>ネンメ</t>
    </rPh>
    <phoneticPr fontId="4"/>
  </si>
  <si>
    <r>
      <t>1</t>
    </r>
    <r>
      <rPr>
        <sz val="9"/>
        <color theme="1"/>
        <rFont val="ＭＳ Ｐゴシック"/>
        <family val="3"/>
        <charset val="128"/>
      </rPr>
      <t>年目</t>
    </r>
    <rPh sb="1" eb="3">
      <t>ネンメ</t>
    </rPh>
    <phoneticPr fontId="4"/>
  </si>
  <si>
    <r>
      <t>2年目</t>
    </r>
    <r>
      <rPr>
        <sz val="9"/>
        <color theme="1"/>
        <rFont val="ＭＳ Ｐゴシック"/>
        <family val="3"/>
        <charset val="128"/>
      </rPr>
      <t/>
    </r>
    <rPh sb="1" eb="3">
      <t>ネンメ</t>
    </rPh>
    <phoneticPr fontId="4"/>
  </si>
  <si>
    <r>
      <t>3年目</t>
    </r>
    <r>
      <rPr>
        <sz val="9"/>
        <color theme="1"/>
        <rFont val="ＭＳ Ｐゴシック"/>
        <family val="3"/>
        <charset val="128"/>
      </rPr>
      <t/>
    </r>
    <rPh sb="1" eb="3">
      <t>ネンメ</t>
    </rPh>
    <phoneticPr fontId="4"/>
  </si>
  <si>
    <r>
      <t>4年目</t>
    </r>
    <r>
      <rPr>
        <sz val="9"/>
        <color theme="1"/>
        <rFont val="ＭＳ Ｐゴシック"/>
        <family val="3"/>
        <charset val="128"/>
      </rPr>
      <t/>
    </r>
    <rPh sb="1" eb="3">
      <t>ネンメ</t>
    </rPh>
    <phoneticPr fontId="4"/>
  </si>
  <si>
    <r>
      <t>5年目</t>
    </r>
    <r>
      <rPr>
        <sz val="9"/>
        <color theme="1"/>
        <rFont val="ＭＳ Ｐゴシック"/>
        <family val="3"/>
        <charset val="128"/>
      </rPr>
      <t/>
    </r>
    <rPh sb="1" eb="3">
      <t>ネンメ</t>
    </rPh>
    <phoneticPr fontId="4"/>
  </si>
  <si>
    <r>
      <t>6年目</t>
    </r>
    <r>
      <rPr>
        <sz val="9"/>
        <color theme="1"/>
        <rFont val="ＭＳ Ｐゴシック"/>
        <family val="3"/>
        <charset val="128"/>
      </rPr>
      <t/>
    </r>
    <rPh sb="1" eb="3">
      <t>ネンメ</t>
    </rPh>
    <phoneticPr fontId="4"/>
  </si>
  <si>
    <r>
      <t>7年目</t>
    </r>
    <r>
      <rPr>
        <sz val="9"/>
        <color theme="1"/>
        <rFont val="ＭＳ Ｐゴシック"/>
        <family val="3"/>
        <charset val="128"/>
      </rPr>
      <t/>
    </r>
    <rPh sb="1" eb="3">
      <t>ネンメ</t>
    </rPh>
    <phoneticPr fontId="4"/>
  </si>
  <si>
    <r>
      <t>8年目</t>
    </r>
    <r>
      <rPr>
        <sz val="9"/>
        <color theme="1"/>
        <rFont val="ＭＳ Ｐゴシック"/>
        <family val="3"/>
        <charset val="128"/>
      </rPr>
      <t/>
    </r>
    <rPh sb="1" eb="3">
      <t>ネンメ</t>
    </rPh>
    <phoneticPr fontId="4"/>
  </si>
  <si>
    <r>
      <t>9年目</t>
    </r>
    <r>
      <rPr>
        <sz val="9"/>
        <color theme="1"/>
        <rFont val="ＭＳ Ｐゴシック"/>
        <family val="3"/>
        <charset val="128"/>
      </rPr>
      <t/>
    </r>
    <rPh sb="1" eb="3">
      <t>ネンメ</t>
    </rPh>
    <phoneticPr fontId="4"/>
  </si>
  <si>
    <r>
      <t>10年目</t>
    </r>
    <r>
      <rPr>
        <sz val="9"/>
        <color theme="1"/>
        <rFont val="ＭＳ Ｐゴシック"/>
        <family val="3"/>
        <charset val="128"/>
      </rPr>
      <t/>
    </r>
    <rPh sb="2" eb="4">
      <t>ネンメ</t>
    </rPh>
    <phoneticPr fontId="4"/>
  </si>
  <si>
    <r>
      <t>11年目</t>
    </r>
    <r>
      <rPr>
        <sz val="9"/>
        <color theme="1"/>
        <rFont val="ＭＳ Ｐゴシック"/>
        <family val="3"/>
        <charset val="128"/>
      </rPr>
      <t/>
    </r>
    <rPh sb="2" eb="4">
      <t>ネンメ</t>
    </rPh>
    <phoneticPr fontId="4"/>
  </si>
  <si>
    <r>
      <t>12年目</t>
    </r>
    <r>
      <rPr>
        <sz val="9"/>
        <color theme="1"/>
        <rFont val="ＭＳ Ｐゴシック"/>
        <family val="3"/>
        <charset val="128"/>
      </rPr>
      <t/>
    </r>
    <rPh sb="2" eb="4">
      <t>ネンメ</t>
    </rPh>
    <phoneticPr fontId="4"/>
  </si>
  <si>
    <r>
      <t>13年目</t>
    </r>
    <r>
      <rPr>
        <sz val="9"/>
        <color theme="1"/>
        <rFont val="ＭＳ Ｐゴシック"/>
        <family val="3"/>
        <charset val="128"/>
      </rPr>
      <t/>
    </r>
    <rPh sb="2" eb="4">
      <t>ネンメ</t>
    </rPh>
    <phoneticPr fontId="4"/>
  </si>
  <si>
    <r>
      <t>14年目</t>
    </r>
    <r>
      <rPr>
        <sz val="9"/>
        <color theme="1"/>
        <rFont val="ＭＳ Ｐゴシック"/>
        <family val="3"/>
        <charset val="128"/>
      </rPr>
      <t/>
    </r>
    <rPh sb="2" eb="4">
      <t>ネンメ</t>
    </rPh>
    <phoneticPr fontId="4"/>
  </si>
  <si>
    <r>
      <t>15年目</t>
    </r>
    <r>
      <rPr>
        <sz val="9"/>
        <color theme="1"/>
        <rFont val="ＭＳ Ｐゴシック"/>
        <family val="3"/>
        <charset val="128"/>
      </rPr>
      <t/>
    </r>
    <rPh sb="2" eb="4">
      <t>ネンメ</t>
    </rPh>
    <phoneticPr fontId="4"/>
  </si>
  <si>
    <r>
      <t>16年目</t>
    </r>
    <r>
      <rPr>
        <sz val="9"/>
        <color theme="1"/>
        <rFont val="ＭＳ Ｐゴシック"/>
        <family val="3"/>
        <charset val="128"/>
      </rPr>
      <t/>
    </r>
    <rPh sb="2" eb="4">
      <t>ネンメ</t>
    </rPh>
    <phoneticPr fontId="4"/>
  </si>
  <si>
    <r>
      <t>17年目</t>
    </r>
    <r>
      <rPr>
        <sz val="9"/>
        <color theme="1"/>
        <rFont val="ＭＳ Ｐゴシック"/>
        <family val="3"/>
        <charset val="128"/>
      </rPr>
      <t/>
    </r>
    <rPh sb="2" eb="4">
      <t>ネンメ</t>
    </rPh>
    <phoneticPr fontId="4"/>
  </si>
  <si>
    <r>
      <t>18年目</t>
    </r>
    <r>
      <rPr>
        <sz val="9"/>
        <color theme="1"/>
        <rFont val="ＭＳ Ｐゴシック"/>
        <family val="3"/>
        <charset val="128"/>
      </rPr>
      <t/>
    </r>
    <rPh sb="2" eb="4">
      <t>ネンメ</t>
    </rPh>
    <phoneticPr fontId="4"/>
  </si>
  <si>
    <r>
      <t>19年目</t>
    </r>
    <r>
      <rPr>
        <sz val="9"/>
        <color theme="1"/>
        <rFont val="ＭＳ Ｐゴシック"/>
        <family val="3"/>
        <charset val="128"/>
      </rPr>
      <t/>
    </r>
    <rPh sb="2" eb="4">
      <t>ネンメ</t>
    </rPh>
    <phoneticPr fontId="4"/>
  </si>
  <si>
    <r>
      <t>20年目</t>
    </r>
    <r>
      <rPr>
        <sz val="9"/>
        <color theme="1"/>
        <rFont val="ＭＳ Ｐゴシック"/>
        <family val="3"/>
        <charset val="128"/>
      </rPr>
      <t/>
    </r>
    <rPh sb="2" eb="4">
      <t>ネンメ</t>
    </rPh>
    <phoneticPr fontId="4"/>
  </si>
  <si>
    <r>
      <t>21年目</t>
    </r>
    <r>
      <rPr>
        <sz val="9"/>
        <color theme="1"/>
        <rFont val="ＭＳ Ｐゴシック"/>
        <family val="3"/>
        <charset val="128"/>
      </rPr>
      <t/>
    </r>
    <rPh sb="2" eb="4">
      <t>ネンメ</t>
    </rPh>
    <phoneticPr fontId="4"/>
  </si>
  <si>
    <r>
      <t>22年目</t>
    </r>
    <r>
      <rPr>
        <sz val="9"/>
        <color theme="1"/>
        <rFont val="ＭＳ Ｐゴシック"/>
        <family val="3"/>
        <charset val="128"/>
      </rPr>
      <t/>
    </r>
    <rPh sb="2" eb="4">
      <t>ネンメ</t>
    </rPh>
    <phoneticPr fontId="4"/>
  </si>
  <si>
    <r>
      <t>23年目</t>
    </r>
    <r>
      <rPr>
        <sz val="9"/>
        <color theme="1"/>
        <rFont val="ＭＳ Ｐゴシック"/>
        <family val="3"/>
        <charset val="128"/>
      </rPr>
      <t/>
    </r>
    <rPh sb="2" eb="4">
      <t>ネンメ</t>
    </rPh>
    <phoneticPr fontId="4"/>
  </si>
  <si>
    <r>
      <t>24年目</t>
    </r>
    <r>
      <rPr>
        <sz val="9"/>
        <color theme="1"/>
        <rFont val="ＭＳ Ｐゴシック"/>
        <family val="3"/>
        <charset val="128"/>
      </rPr>
      <t/>
    </r>
    <rPh sb="2" eb="4">
      <t>ネンメ</t>
    </rPh>
    <phoneticPr fontId="4"/>
  </si>
  <si>
    <r>
      <t>25年目</t>
    </r>
    <r>
      <rPr>
        <sz val="9"/>
        <color theme="1"/>
        <rFont val="ＭＳ Ｐゴシック"/>
        <family val="3"/>
        <charset val="128"/>
      </rPr>
      <t/>
    </r>
    <rPh sb="2" eb="4">
      <t>ネンメ</t>
    </rPh>
    <phoneticPr fontId="4"/>
  </si>
  <si>
    <r>
      <t>26年目</t>
    </r>
    <r>
      <rPr>
        <sz val="9"/>
        <color theme="1"/>
        <rFont val="ＭＳ Ｐゴシック"/>
        <family val="3"/>
        <charset val="128"/>
      </rPr>
      <t/>
    </r>
    <rPh sb="2" eb="4">
      <t>ネンメ</t>
    </rPh>
    <phoneticPr fontId="4"/>
  </si>
  <si>
    <r>
      <t>27年目</t>
    </r>
    <r>
      <rPr>
        <sz val="9"/>
        <color theme="1"/>
        <rFont val="ＭＳ Ｐゴシック"/>
        <family val="3"/>
        <charset val="128"/>
      </rPr>
      <t/>
    </r>
    <rPh sb="2" eb="4">
      <t>ネンメ</t>
    </rPh>
    <phoneticPr fontId="4"/>
  </si>
  <si>
    <r>
      <t>28年目</t>
    </r>
    <r>
      <rPr>
        <sz val="9"/>
        <color theme="1"/>
        <rFont val="ＭＳ Ｐゴシック"/>
        <family val="3"/>
        <charset val="128"/>
      </rPr>
      <t/>
    </r>
    <rPh sb="2" eb="4">
      <t>ネンメ</t>
    </rPh>
    <phoneticPr fontId="4"/>
  </si>
  <si>
    <r>
      <t>29年目</t>
    </r>
    <r>
      <rPr>
        <sz val="9"/>
        <color theme="1"/>
        <rFont val="ＭＳ Ｐゴシック"/>
        <family val="3"/>
        <charset val="128"/>
      </rPr>
      <t/>
    </r>
    <rPh sb="2" eb="4">
      <t>ネンメ</t>
    </rPh>
    <phoneticPr fontId="4"/>
  </si>
  <si>
    <r>
      <t>30年目</t>
    </r>
    <r>
      <rPr>
        <sz val="9"/>
        <color theme="1"/>
        <rFont val="ＭＳ Ｐゴシック"/>
        <family val="3"/>
        <charset val="128"/>
      </rPr>
      <t/>
    </r>
    <rPh sb="2" eb="4">
      <t>ネンメ</t>
    </rPh>
    <phoneticPr fontId="4"/>
  </si>
  <si>
    <t>【結果】地域内経済効果を踏まえた20年間のバイオマス事業の効果</t>
    <rPh sb="1" eb="3">
      <t>ケッカ</t>
    </rPh>
    <rPh sb="4" eb="7">
      <t>チイキナイ</t>
    </rPh>
    <rPh sb="7" eb="11">
      <t>ケイザイコウカ</t>
    </rPh>
    <rPh sb="12" eb="13">
      <t>フ</t>
    </rPh>
    <rPh sb="18" eb="20">
      <t>ネンカン</t>
    </rPh>
    <rPh sb="26" eb="28">
      <t>ジギョウ</t>
    </rPh>
    <rPh sb="29" eb="31">
      <t>コウカ</t>
    </rPh>
    <phoneticPr fontId="4"/>
  </si>
  <si>
    <t>バイオマス事業のIRR</t>
    <rPh sb="5" eb="7">
      <t>ジギョウ</t>
    </rPh>
    <phoneticPr fontId="4"/>
  </si>
  <si>
    <t>バイオマス事業の投資回収年数</t>
    <rPh sb="5" eb="7">
      <t>ジギョウ</t>
    </rPh>
    <rPh sb="8" eb="12">
      <t>トウシカイシュウ</t>
    </rPh>
    <rPh sb="12" eb="14">
      <t>ネンスウ</t>
    </rPh>
    <phoneticPr fontId="4"/>
  </si>
  <si>
    <t>地域経済効果</t>
    <rPh sb="0" eb="4">
      <t>チイキケイザイ</t>
    </rPh>
    <rPh sb="4" eb="6">
      <t>コウカ</t>
    </rPh>
    <phoneticPr fontId="4"/>
  </si>
  <si>
    <t>地域経済効果を含めた事業のIRR</t>
    <rPh sb="0" eb="2">
      <t>チイキ</t>
    </rPh>
    <rPh sb="2" eb="4">
      <t>ケイザイ</t>
    </rPh>
    <rPh sb="4" eb="6">
      <t>コウカ</t>
    </rPh>
    <rPh sb="7" eb="8">
      <t>フク</t>
    </rPh>
    <rPh sb="10" eb="12">
      <t>ジギョウ</t>
    </rPh>
    <phoneticPr fontId="4"/>
  </si>
  <si>
    <t>地域経済効果を含めた事業の投資回収年数</t>
    <rPh sb="0" eb="2">
      <t>チイキ</t>
    </rPh>
    <rPh sb="2" eb="4">
      <t>ケイザイ</t>
    </rPh>
    <rPh sb="4" eb="6">
      <t>コウカ</t>
    </rPh>
    <rPh sb="7" eb="8">
      <t>フク</t>
    </rPh>
    <rPh sb="10" eb="12">
      <t>ジギョウ</t>
    </rPh>
    <rPh sb="13" eb="15">
      <t>トウシ</t>
    </rPh>
    <rPh sb="15" eb="17">
      <t>カイシュウ</t>
    </rPh>
    <rPh sb="17" eb="19">
      <t>ネンスウ</t>
    </rPh>
    <phoneticPr fontId="4"/>
  </si>
  <si>
    <t>バイオマス事業における
キャッシュフロー</t>
    <rPh sb="5" eb="7">
      <t>ジギョウ</t>
    </rPh>
    <phoneticPr fontId="4"/>
  </si>
  <si>
    <t>地域経済効果を踏まえた
キャッシュフロー</t>
    <rPh sb="0" eb="2">
      <t>チイキ</t>
    </rPh>
    <rPh sb="2" eb="4">
      <t>ケイザイ</t>
    </rPh>
    <rPh sb="4" eb="6">
      <t>コウカ</t>
    </rPh>
    <rPh sb="7" eb="8">
      <t>フ</t>
    </rPh>
    <phoneticPr fontId="4"/>
  </si>
  <si>
    <t>地域事業者への発注割合</t>
    <rPh sb="0" eb="2">
      <t>チイキ</t>
    </rPh>
    <rPh sb="2" eb="5">
      <t>ジギョウシャ</t>
    </rPh>
    <rPh sb="7" eb="9">
      <t>ハッチュウ</t>
    </rPh>
    <rPh sb="9" eb="11">
      <t>ワリアイ</t>
    </rPh>
    <phoneticPr fontId="4"/>
  </si>
  <si>
    <t>（参考）初期投資総額</t>
    <rPh sb="1" eb="3">
      <t>サンコウ</t>
    </rPh>
    <rPh sb="4" eb="8">
      <t>ショキトウシ</t>
    </rPh>
    <rPh sb="8" eb="10">
      <t>ソウガク</t>
    </rPh>
    <phoneticPr fontId="4"/>
  </si>
  <si>
    <t>地域内銀行借入金</t>
    <rPh sb="0" eb="3">
      <t>チイキナイ</t>
    </rPh>
    <rPh sb="3" eb="5">
      <t>ギンコウ</t>
    </rPh>
    <rPh sb="5" eb="8">
      <t>カリイレキン</t>
    </rPh>
    <phoneticPr fontId="4"/>
  </si>
  <si>
    <t>地域外銀行借入金</t>
    <rPh sb="0" eb="3">
      <t>チイキガイ</t>
    </rPh>
    <rPh sb="3" eb="5">
      <t>ギンコウ</t>
    </rPh>
    <rPh sb="5" eb="8">
      <t>カリイレキン</t>
    </rPh>
    <phoneticPr fontId="4"/>
  </si>
  <si>
    <t>【結果】20年間のバイオマス事業の効果</t>
    <rPh sb="1" eb="3">
      <t>ケッカ</t>
    </rPh>
    <phoneticPr fontId="4"/>
  </si>
  <si>
    <t>（事業開始後20年間合計）</t>
    <rPh sb="1" eb="5">
      <t>ジギョウカイシ</t>
    </rPh>
    <rPh sb="5" eb="6">
      <t>アト</t>
    </rPh>
    <rPh sb="8" eb="10">
      <t>ネンカン</t>
    </rPh>
    <rPh sb="10" eb="12">
      <t>ゴウケイ</t>
    </rPh>
    <phoneticPr fontId="4"/>
  </si>
  <si>
    <t>（事業開始前20年間合計）</t>
    <rPh sb="1" eb="5">
      <t>ジギョウカイシ</t>
    </rPh>
    <rPh sb="5" eb="6">
      <t>マエ</t>
    </rPh>
    <rPh sb="8" eb="10">
      <t>ネンカン</t>
    </rPh>
    <rPh sb="10" eb="12">
      <t>ゴウケイ</t>
    </rPh>
    <phoneticPr fontId="4"/>
  </si>
  <si>
    <t>⑦処理委託費用低減効果(廃棄物委託元の経済効果）</t>
    <rPh sb="12" eb="15">
      <t>ハイキブツ</t>
    </rPh>
    <rPh sb="15" eb="17">
      <t>イタク</t>
    </rPh>
    <rPh sb="17" eb="18">
      <t>モト</t>
    </rPh>
    <rPh sb="19" eb="23">
      <t>ケイザイコウカ</t>
    </rPh>
    <phoneticPr fontId="4"/>
  </si>
  <si>
    <t>⑧廃棄物処理・エネルギー利用における需要家へのメリット</t>
    <rPh sb="1" eb="4">
      <t>ハイキブツ</t>
    </rPh>
    <rPh sb="4" eb="6">
      <t>ショリ</t>
    </rPh>
    <rPh sb="12" eb="14">
      <t>リヨウ</t>
    </rPh>
    <rPh sb="18" eb="21">
      <t>ジュヨウカ</t>
    </rPh>
    <phoneticPr fontId="4"/>
  </si>
  <si>
    <t>⑥地域内金融機関利息収入</t>
    <rPh sb="1" eb="4">
      <t>チイキナイ</t>
    </rPh>
    <rPh sb="4" eb="8">
      <t>キンユウキカン</t>
    </rPh>
    <rPh sb="8" eb="10">
      <t>リソク</t>
    </rPh>
    <rPh sb="10" eb="12">
      <t>シュウニュウ</t>
    </rPh>
    <phoneticPr fontId="4"/>
  </si>
  <si>
    <t>⑤自治体地方税</t>
    <rPh sb="1" eb="4">
      <t>ジチタイ</t>
    </rPh>
    <rPh sb="4" eb="7">
      <t>チホウゼイ</t>
    </rPh>
    <phoneticPr fontId="4"/>
  </si>
  <si>
    <t>④雇用効果（従業員可処分所得）</t>
    <rPh sb="1" eb="3">
      <t>コヨウ</t>
    </rPh>
    <rPh sb="3" eb="5">
      <t>コウカ</t>
    </rPh>
    <rPh sb="6" eb="9">
      <t>ジュウギョウイン</t>
    </rPh>
    <rPh sb="9" eb="14">
      <t>カショブンショトク</t>
    </rPh>
    <phoneticPr fontId="4"/>
  </si>
  <si>
    <t>⑧エネルギー費用削減効果</t>
    <rPh sb="6" eb="8">
      <t>ヒヨウ</t>
    </rPh>
    <rPh sb="8" eb="10">
      <t>サクゲン</t>
    </rPh>
    <rPh sb="10" eb="12">
      <t>コウカ</t>
    </rPh>
    <phoneticPr fontId="4"/>
  </si>
  <si>
    <t>○地域内経済効果を含めたバイオマス事業の経済性</t>
    <rPh sb="1" eb="3">
      <t>チイキ</t>
    </rPh>
    <rPh sb="3" eb="4">
      <t>ナイ</t>
    </rPh>
    <rPh sb="4" eb="6">
      <t>ケイザイ</t>
    </rPh>
    <rPh sb="6" eb="8">
      <t>コウカ</t>
    </rPh>
    <rPh sb="9" eb="10">
      <t>フク</t>
    </rPh>
    <rPh sb="17" eb="19">
      <t>ジギョウ</t>
    </rPh>
    <rPh sb="20" eb="23">
      <t>ケイザイセイ</t>
    </rPh>
    <phoneticPr fontId="5"/>
  </si>
  <si>
    <t>支払利息（地域内）</t>
    <rPh sb="0" eb="4">
      <t>シハライリソク</t>
    </rPh>
    <rPh sb="5" eb="8">
      <t>チイキナイ</t>
    </rPh>
    <phoneticPr fontId="4"/>
  </si>
  <si>
    <t>支払利息（地域外）</t>
    <rPh sb="0" eb="4">
      <t>シハライリソク</t>
    </rPh>
    <rPh sb="5" eb="8">
      <t>チイキガイ</t>
    </rPh>
    <phoneticPr fontId="4"/>
  </si>
  <si>
    <t>⑥金融機関利息収入</t>
    <rPh sb="1" eb="5">
      <t>キンユウキカン</t>
    </rPh>
    <rPh sb="5" eb="7">
      <t>リソク</t>
    </rPh>
    <rPh sb="7" eb="9">
      <t>シュウニュウ</t>
    </rPh>
    <phoneticPr fontId="4"/>
  </si>
  <si>
    <t>⑧エネルギー費用
削減効果</t>
    <rPh sb="6" eb="8">
      <t>ヒヨウ</t>
    </rPh>
    <rPh sb="9" eb="11">
      <t>サクゲン</t>
    </rPh>
    <rPh sb="11" eb="13">
      <t>コウカ</t>
    </rPh>
    <phoneticPr fontId="4"/>
  </si>
  <si>
    <t>合計</t>
    <rPh sb="0" eb="2">
      <t>ゴウケイ</t>
    </rPh>
    <phoneticPr fontId="4"/>
  </si>
  <si>
    <t>【結果】バイオマス事業開始による地域の経済効果（20年間合計）</t>
    <rPh sb="1" eb="3">
      <t>ケッカ</t>
    </rPh>
    <rPh sb="9" eb="13">
      <t>ジギョウカイシ</t>
    </rPh>
    <rPh sb="16" eb="18">
      <t>チイキ</t>
    </rPh>
    <rPh sb="19" eb="21">
      <t>ケイザイ</t>
    </rPh>
    <rPh sb="21" eb="23">
      <t>コウカ</t>
    </rPh>
    <rPh sb="26" eb="28">
      <t>ネンカン</t>
    </rPh>
    <rPh sb="28" eb="30">
      <t>ゴウケイ</t>
    </rPh>
    <phoneticPr fontId="4"/>
  </si>
  <si>
    <t>事業者利益総額</t>
    <rPh sb="0" eb="3">
      <t>ジギョウシャ</t>
    </rPh>
    <rPh sb="3" eb="5">
      <t>リエキ</t>
    </rPh>
    <rPh sb="5" eb="7">
      <t>ソウガク</t>
    </rPh>
    <phoneticPr fontId="4"/>
  </si>
  <si>
    <t>電力支払い費用</t>
    <rPh sb="0" eb="2">
      <t>デンリョク</t>
    </rPh>
    <rPh sb="2" eb="4">
      <t>シハラ</t>
    </rPh>
    <rPh sb="5" eb="7">
      <t>ヒヨウ</t>
    </rPh>
    <phoneticPr fontId="4"/>
  </si>
  <si>
    <t>バイオマス処理料金</t>
    <rPh sb="5" eb="7">
      <t>ショリ</t>
    </rPh>
    <rPh sb="7" eb="9">
      <t>リョウキン</t>
    </rPh>
    <phoneticPr fontId="4"/>
  </si>
  <si>
    <t>①バイオマス事業者の最終利益
（地域外配当減算後）</t>
    <phoneticPr fontId="4"/>
  </si>
  <si>
    <t>https://ghg-santeikohyo.env.go.jp/files/calc/r02_coefficient_rev.pdf</t>
  </si>
  <si>
    <t>https://ghg-santeikohyo.env.go.jp/files/calc/itiran_2020_rev.pdf</t>
  </si>
  <si>
    <t>産業用以外の上記、温水、冷水</t>
    <rPh sb="0" eb="3">
      <t>サンギョウヨウ</t>
    </rPh>
    <rPh sb="3" eb="5">
      <t>イガイ</t>
    </rPh>
    <rPh sb="6" eb="8">
      <t>ジョウキ</t>
    </rPh>
    <rPh sb="9" eb="11">
      <t>オンスイ</t>
    </rPh>
    <rPh sb="12" eb="14">
      <t>レイスイ</t>
    </rPh>
    <phoneticPr fontId="4"/>
  </si>
  <si>
    <t>電力</t>
    <rPh sb="0" eb="2">
      <t>デンリョク</t>
    </rPh>
    <phoneticPr fontId="4"/>
  </si>
  <si>
    <t>tCO2/kWH</t>
    <phoneticPr fontId="4"/>
  </si>
  <si>
    <t>tCO2/GJ</t>
    <phoneticPr fontId="4"/>
  </si>
  <si>
    <t xml:space="preserve">   金利</t>
    <rPh sb="3" eb="5">
      <t>キンリ</t>
    </rPh>
    <phoneticPr fontId="4"/>
  </si>
  <si>
    <t>　 借用年数</t>
    <rPh sb="2" eb="4">
      <t>シャクヨウ</t>
    </rPh>
    <rPh sb="3" eb="4">
      <t>ヨウ</t>
    </rPh>
    <rPh sb="4" eb="6">
      <t>ネンスウ</t>
    </rPh>
    <phoneticPr fontId="4"/>
  </si>
  <si>
    <t>　 金利</t>
    <rPh sb="2" eb="4">
      <t>キンリ</t>
    </rPh>
    <phoneticPr fontId="4"/>
  </si>
  <si>
    <t xml:space="preserve">   借用年数</t>
    <rPh sb="3" eb="5">
      <t>シャクヨウ</t>
    </rPh>
    <rPh sb="5" eb="7">
      <t>ネンスウ</t>
    </rPh>
    <phoneticPr fontId="4"/>
  </si>
  <si>
    <t>出資割合</t>
    <rPh sb="0" eb="2">
      <t>シュッシ</t>
    </rPh>
    <rPh sb="2" eb="4">
      <t>ワリアイ</t>
    </rPh>
    <phoneticPr fontId="4"/>
  </si>
  <si>
    <t>⑦処理委託費用低減効果
(廃棄物委託元の経済効果）</t>
    <rPh sb="13" eb="16">
      <t>ハイキブツ</t>
    </rPh>
    <rPh sb="16" eb="18">
      <t>イタク</t>
    </rPh>
    <rPh sb="18" eb="19">
      <t>モト</t>
    </rPh>
    <rPh sb="20" eb="24">
      <t>ケイザイコウカ</t>
    </rPh>
    <phoneticPr fontId="4"/>
  </si>
  <si>
    <t>※地域経済性については下段のパラーメーター設定を行うこと。</t>
    <rPh sb="1" eb="5">
      <t>チイキケイザイ</t>
    </rPh>
    <rPh sb="5" eb="6">
      <t>セイ</t>
    </rPh>
    <rPh sb="11" eb="13">
      <t>ゲダン</t>
    </rPh>
    <rPh sb="21" eb="23">
      <t>セッテイ</t>
    </rPh>
    <rPh sb="24" eb="25">
      <t>オコナ</t>
    </rPh>
    <phoneticPr fontId="4"/>
  </si>
  <si>
    <t>　</t>
    <phoneticPr fontId="4"/>
  </si>
  <si>
    <t>Point 地域経済分析結果の解釈</t>
    <rPh sb="6" eb="8">
      <t>チイキ</t>
    </rPh>
    <rPh sb="8" eb="10">
      <t>ケイザイ</t>
    </rPh>
    <rPh sb="10" eb="12">
      <t>ブンセキ</t>
    </rPh>
    <rPh sb="12" eb="14">
      <t>ケッカ</t>
    </rPh>
    <rPh sb="15" eb="17">
      <t>カイシャク</t>
    </rPh>
    <phoneticPr fontId="4"/>
  </si>
  <si>
    <t>リサイクル対策部 廃棄物対策課（平成29 年3 月）</t>
  </si>
  <si>
    <t>FIT想定</t>
    <rPh sb="3" eb="5">
      <t>ソウテイ</t>
    </rPh>
    <phoneticPr fontId="4"/>
  </si>
  <si>
    <t>実質的な資本費</t>
    <rPh sb="0" eb="3">
      <t>ジッシツテキ</t>
    </rPh>
    <rPh sb="4" eb="6">
      <t>シホン</t>
    </rPh>
    <rPh sb="6" eb="7">
      <t>ヒ</t>
    </rPh>
    <phoneticPr fontId="4"/>
  </si>
  <si>
    <t>運転維持費</t>
    <rPh sb="0" eb="2">
      <t>ウンテン</t>
    </rPh>
    <rPh sb="2" eb="5">
      <t>イジヒ</t>
    </rPh>
    <phoneticPr fontId="4"/>
  </si>
  <si>
    <t>平均値</t>
    <rPh sb="0" eb="3">
      <t>ヘイキンチ</t>
    </rPh>
    <phoneticPr fontId="4"/>
  </si>
  <si>
    <t>設備費用・運転維持費</t>
    <rPh sb="0" eb="2">
      <t>セツビ</t>
    </rPh>
    <rPh sb="2" eb="4">
      <t>ヒヨウ</t>
    </rPh>
    <rPh sb="5" eb="7">
      <t>ウンテン</t>
    </rPh>
    <rPh sb="7" eb="10">
      <t>イジヒ</t>
    </rPh>
    <phoneticPr fontId="4"/>
  </si>
  <si>
    <t>設備など全般</t>
    <rPh sb="0" eb="2">
      <t>セツビ</t>
    </rPh>
    <rPh sb="4" eb="6">
      <t>ゼンパン</t>
    </rPh>
    <phoneticPr fontId="4"/>
  </si>
  <si>
    <t>富士</t>
    <rPh sb="0" eb="2">
      <t>フジ</t>
    </rPh>
    <phoneticPr fontId="4"/>
  </si>
  <si>
    <t>阿寒</t>
    <rPh sb="0" eb="2">
      <t>アカン</t>
    </rPh>
    <phoneticPr fontId="4"/>
  </si>
  <si>
    <t>発電出力</t>
    <rPh sb="0" eb="4">
      <t>ハツデンシュツリョク</t>
    </rPh>
    <phoneticPr fontId="4"/>
  </si>
  <si>
    <t>薬剤・消耗品単価</t>
    <rPh sb="0" eb="2">
      <t>ヤクザイ</t>
    </rPh>
    <rPh sb="3" eb="5">
      <t>ショウモウ</t>
    </rPh>
    <rPh sb="5" eb="6">
      <t>ヒン</t>
    </rPh>
    <rPh sb="6" eb="8">
      <t>タンカ</t>
    </rPh>
    <phoneticPr fontId="4"/>
  </si>
  <si>
    <t>ユーティリティー</t>
  </si>
  <si>
    <t>メンテナンス費</t>
    <rPh sb="6" eb="7">
      <t>ヒ</t>
    </rPh>
    <phoneticPr fontId="4"/>
  </si>
  <si>
    <t>FSの実績</t>
    <rPh sb="3" eb="5">
      <t>ジッセキ</t>
    </rPh>
    <phoneticPr fontId="4"/>
  </si>
  <si>
    <t>　薬剤・消耗品費用</t>
    <rPh sb="1" eb="3">
      <t>ヤクザイ</t>
    </rPh>
    <rPh sb="4" eb="7">
      <t>ショウモウヒン</t>
    </rPh>
    <rPh sb="7" eb="9">
      <t>ヒヨウ</t>
    </rPh>
    <phoneticPr fontId="4"/>
  </si>
  <si>
    <t>　ユーティリティー費用</t>
    <rPh sb="9" eb="11">
      <t>ヒヨウ</t>
    </rPh>
    <phoneticPr fontId="4"/>
  </si>
  <si>
    <t>　人件費</t>
    <rPh sb="1" eb="4">
      <t>ジンケンヒ</t>
    </rPh>
    <phoneticPr fontId="4"/>
  </si>
  <si>
    <t>　一般管理費</t>
    <rPh sb="1" eb="6">
      <t>イッパンカンリヒ</t>
    </rPh>
    <phoneticPr fontId="4"/>
  </si>
  <si>
    <t>運転維持費</t>
    <rPh sb="0" eb="2">
      <t>ウンテン</t>
    </rPh>
    <rPh sb="2" eb="5">
      <t>イジヒ</t>
    </rPh>
    <phoneticPr fontId="4"/>
  </si>
  <si>
    <t>　メンテナンス費</t>
    <rPh sb="7" eb="8">
      <t>ヒ</t>
    </rPh>
    <phoneticPr fontId="4"/>
  </si>
  <si>
    <t>売電可能量（割合）</t>
    <rPh sb="0" eb="2">
      <t>バイデン</t>
    </rPh>
    <rPh sb="2" eb="4">
      <t>カノウ</t>
    </rPh>
    <rPh sb="4" eb="5">
      <t>リョウ</t>
    </rPh>
    <rPh sb="6" eb="8">
      <t>ワリアイ</t>
    </rPh>
    <phoneticPr fontId="4"/>
  </si>
  <si>
    <t>　発電効率</t>
    <rPh sb="1" eb="5">
      <t>ハツデンコウリツ</t>
    </rPh>
    <phoneticPr fontId="4"/>
  </si>
  <si>
    <t>液肥</t>
    <rPh sb="0" eb="2">
      <t>エキヒ</t>
    </rPh>
    <phoneticPr fontId="4"/>
  </si>
  <si>
    <t>その他①</t>
    <rPh sb="2" eb="3">
      <t>タ</t>
    </rPh>
    <phoneticPr fontId="4"/>
  </si>
  <si>
    <t>その他②</t>
    <rPh sb="2" eb="3">
      <t>タ</t>
    </rPh>
    <phoneticPr fontId="4"/>
  </si>
  <si>
    <t>その他③</t>
    <rPh sb="2" eb="3">
      <t>タ</t>
    </rPh>
    <phoneticPr fontId="4"/>
  </si>
  <si>
    <t>　販売価格</t>
    <phoneticPr fontId="4"/>
  </si>
  <si>
    <t>　販売量</t>
    <rPh sb="1" eb="4">
      <t>ハンバイリョウ</t>
    </rPh>
    <phoneticPr fontId="4"/>
  </si>
  <si>
    <t>単位/日</t>
    <rPh sb="0" eb="2">
      <t>タンイ</t>
    </rPh>
    <rPh sb="3" eb="4">
      <t>ニチ</t>
    </rPh>
    <phoneticPr fontId="4"/>
  </si>
  <si>
    <t>○初期投資費用設定における事業性の感度分析</t>
    <rPh sb="1" eb="5">
      <t>ショキトウシ</t>
    </rPh>
    <rPh sb="5" eb="7">
      <t>ヒヨウ</t>
    </rPh>
    <rPh sb="7" eb="9">
      <t>セッテイ</t>
    </rPh>
    <rPh sb="13" eb="15">
      <t>ジギョウ</t>
    </rPh>
    <rPh sb="15" eb="16">
      <t>セイ</t>
    </rPh>
    <rPh sb="17" eb="21">
      <t>カンドブンセキ</t>
    </rPh>
    <phoneticPr fontId="5"/>
  </si>
  <si>
    <t>初期投資費用（総額）</t>
    <rPh sb="0" eb="4">
      <t>ショキトウシ</t>
    </rPh>
    <rPh sb="4" eb="6">
      <t>ヒヨウ</t>
    </rPh>
    <rPh sb="7" eb="9">
      <t>ソウガク</t>
    </rPh>
    <phoneticPr fontId="4"/>
  </si>
  <si>
    <t>イニシャル費用</t>
    <rPh sb="5" eb="7">
      <t>ヒヨウ</t>
    </rPh>
    <phoneticPr fontId="5"/>
  </si>
  <si>
    <t>投資回収年</t>
    <rPh sb="0" eb="2">
      <t>トウシ</t>
    </rPh>
    <rPh sb="2" eb="4">
      <t>カイシュウ</t>
    </rPh>
    <rPh sb="4" eb="5">
      <t>ドシ</t>
    </rPh>
    <phoneticPr fontId="5"/>
  </si>
  <si>
    <r>
      <rPr>
        <sz val="10"/>
        <color indexed="8"/>
        <rFont val="ＭＳ Ｐゴシック"/>
        <family val="3"/>
        <charset val="128"/>
      </rPr>
      <t>※発電効率を</t>
    </r>
    <r>
      <rPr>
        <sz val="10"/>
        <color indexed="8"/>
        <rFont val="Arial"/>
        <family val="2"/>
      </rPr>
      <t>30%</t>
    </r>
    <r>
      <rPr>
        <sz val="10"/>
        <color indexed="8"/>
        <rFont val="ＭＳ Ｐゴシック"/>
        <family val="3"/>
        <charset val="128"/>
      </rPr>
      <t>として試算</t>
    </r>
    <rPh sb="1" eb="5">
      <t>ハツデンコウリツ</t>
    </rPh>
    <rPh sb="12" eb="14">
      <t>シサン</t>
    </rPh>
    <phoneticPr fontId="4"/>
  </si>
  <si>
    <r>
      <t>MJ/</t>
    </r>
    <r>
      <rPr>
        <sz val="14"/>
        <color theme="1"/>
        <rFont val="ＭＳ Ｐゴシック"/>
        <family val="3"/>
        <charset val="128"/>
      </rPr>
      <t>時間</t>
    </r>
    <rPh sb="3" eb="5">
      <t>ジカン</t>
    </rPh>
    <phoneticPr fontId="4"/>
  </si>
  <si>
    <t>液肥</t>
    <rPh sb="0" eb="2">
      <t>エキヒ</t>
    </rPh>
    <phoneticPr fontId="4"/>
  </si>
  <si>
    <t>堆肥</t>
    <rPh sb="0" eb="2">
      <t>タイヒ</t>
    </rPh>
    <phoneticPr fontId="4"/>
  </si>
  <si>
    <t>　設備費用</t>
    <rPh sb="1" eb="3">
      <t>セツビ</t>
    </rPh>
    <rPh sb="3" eb="5">
      <t>ヒヨウ</t>
    </rPh>
    <phoneticPr fontId="4"/>
  </si>
  <si>
    <t>　工事費</t>
    <rPh sb="1" eb="4">
      <t>コウジヒ</t>
    </rPh>
    <phoneticPr fontId="4"/>
  </si>
  <si>
    <t>薬剤・消耗品費用</t>
    <phoneticPr fontId="4"/>
  </si>
  <si>
    <t>ユーティリティー費用</t>
    <phoneticPr fontId="4"/>
  </si>
  <si>
    <t>メンテナンス費</t>
    <phoneticPr fontId="4"/>
  </si>
  <si>
    <t>人件費</t>
    <rPh sb="0" eb="3">
      <t>ジンケンヒ</t>
    </rPh>
    <phoneticPr fontId="4"/>
  </si>
  <si>
    <t>一般管理費</t>
    <rPh sb="0" eb="5">
      <t>イッパンカンリヒ</t>
    </rPh>
    <phoneticPr fontId="4"/>
  </si>
  <si>
    <t>運転維持費（合計費用）</t>
    <rPh sb="6" eb="8">
      <t>ゴウケイ</t>
    </rPh>
    <rPh sb="8" eb="10">
      <t>ヒヨウ</t>
    </rPh>
    <phoneticPr fontId="4"/>
  </si>
  <si>
    <t>百万円/年</t>
    <rPh sb="0" eb="3">
      <t>ヒャクマンエン</t>
    </rPh>
    <rPh sb="4" eb="5">
      <t>ネン</t>
    </rPh>
    <phoneticPr fontId="4"/>
  </si>
  <si>
    <t>薬剤・消耗品費用</t>
    <rPh sb="0" eb="2">
      <t>ヤクザイ</t>
    </rPh>
    <rPh sb="3" eb="6">
      <t>ショウモウヒン</t>
    </rPh>
    <rPh sb="6" eb="8">
      <t>ヒヨウ</t>
    </rPh>
    <phoneticPr fontId="4"/>
  </si>
  <si>
    <t>一般管理費</t>
    <rPh sb="0" eb="5">
      <t>イッパンカンリヒ</t>
    </rPh>
    <phoneticPr fontId="4"/>
  </si>
  <si>
    <t>初期投資費用（費用）</t>
    <rPh sb="7" eb="9">
      <t>ヒヨウ</t>
    </rPh>
    <phoneticPr fontId="4"/>
  </si>
  <si>
    <t>発電量の概算値（kW）</t>
    <rPh sb="0" eb="3">
      <t>ハツデンリョウ</t>
    </rPh>
    <rPh sb="4" eb="7">
      <t>ガイサンチ</t>
    </rPh>
    <phoneticPr fontId="5"/>
  </si>
  <si>
    <t>○詳細な設定２(必要に応じて数値を直接変更）</t>
    <rPh sb="1" eb="3">
      <t>ショウサイ</t>
    </rPh>
    <rPh sb="4" eb="6">
      <t>セッテイ</t>
    </rPh>
    <rPh sb="8" eb="10">
      <t>ヒツヨウ</t>
    </rPh>
    <rPh sb="11" eb="12">
      <t>オウ</t>
    </rPh>
    <rPh sb="14" eb="16">
      <t>スウチ</t>
    </rPh>
    <rPh sb="17" eb="19">
      <t>チョクセツ</t>
    </rPh>
    <rPh sb="19" eb="21">
      <t>ヘンコウ</t>
    </rPh>
    <phoneticPr fontId="4"/>
  </si>
  <si>
    <t>電力の販売</t>
    <rPh sb="0" eb="2">
      <t>デンリョク</t>
    </rPh>
    <rPh sb="3" eb="5">
      <t>ハンバイ</t>
    </rPh>
    <phoneticPr fontId="4"/>
  </si>
  <si>
    <t>副産物の収益</t>
    <rPh sb="0" eb="3">
      <t>フクサンブツ</t>
    </rPh>
    <rPh sb="4" eb="6">
      <t>シュウエキ</t>
    </rPh>
    <phoneticPr fontId="4"/>
  </si>
  <si>
    <t>○詳細な設定1(必要に応じて数値を直接変更）</t>
    <rPh sb="1" eb="3">
      <t>ショウサイ</t>
    </rPh>
    <rPh sb="4" eb="6">
      <t>セッテイ</t>
    </rPh>
    <rPh sb="8" eb="10">
      <t>ヒツヨウ</t>
    </rPh>
    <rPh sb="11" eb="12">
      <t>オウ</t>
    </rPh>
    <rPh sb="14" eb="16">
      <t>スウチ</t>
    </rPh>
    <rPh sb="17" eb="19">
      <t>チョクセツ</t>
    </rPh>
    <rPh sb="19" eb="21">
      <t>ヘンコウ</t>
    </rPh>
    <phoneticPr fontId="4"/>
  </si>
  <si>
    <t>出力に対する売電割合</t>
    <rPh sb="0" eb="2">
      <t>シュツリョク</t>
    </rPh>
    <rPh sb="3" eb="4">
      <t>タイ</t>
    </rPh>
    <rPh sb="6" eb="8">
      <t>バイデン</t>
    </rPh>
    <rPh sb="8" eb="10">
      <t>ワリアイ</t>
    </rPh>
    <phoneticPr fontId="4"/>
  </si>
  <si>
    <t>感度分析</t>
    <rPh sb="0" eb="4">
      <t>カンドブンセキ</t>
    </rPh>
    <phoneticPr fontId="4"/>
  </si>
  <si>
    <t>ツールでの想定</t>
    <rPh sb="5" eb="7">
      <t>ソウテイ</t>
    </rPh>
    <phoneticPr fontId="4"/>
  </si>
  <si>
    <t>ツールの価格</t>
    <rPh sb="4" eb="6">
      <t>カカク</t>
    </rPh>
    <phoneticPr fontId="4"/>
  </si>
  <si>
    <t>合計</t>
    <rPh sb="0" eb="2">
      <t>ゴウケイ</t>
    </rPh>
    <phoneticPr fontId="4"/>
  </si>
  <si>
    <t>想定する発電量</t>
    <rPh sb="0" eb="2">
      <t>ソウテイ</t>
    </rPh>
    <rPh sb="4" eb="7">
      <t>ハツデンリョウ</t>
    </rPh>
    <phoneticPr fontId="4"/>
  </si>
  <si>
    <t>トンあたりNm3</t>
    <phoneticPr fontId="4"/>
  </si>
  <si>
    <t>トンあたりMJ</t>
    <phoneticPr fontId="4"/>
  </si>
  <si>
    <t>kW</t>
    <phoneticPr fontId="4"/>
  </si>
  <si>
    <t>MJ</t>
    <phoneticPr fontId="4"/>
  </si>
  <si>
    <t>固形物量TS</t>
    <rPh sb="0" eb="3">
      <t>コケイブツ</t>
    </rPh>
    <rPh sb="3" eb="4">
      <t>リョウ</t>
    </rPh>
    <phoneticPr fontId="4"/>
  </si>
  <si>
    <t>強熱減量VS/TS</t>
    <rPh sb="0" eb="4">
      <t>キョウネツゲンリョウ</t>
    </rPh>
    <phoneticPr fontId="4"/>
  </si>
  <si>
    <t>想定する発電量（熱換算）</t>
    <rPh sb="0" eb="2">
      <t>ソウテイ</t>
    </rPh>
    <rPh sb="4" eb="7">
      <t>ハツデンリョウ</t>
    </rPh>
    <rPh sb="8" eb="9">
      <t>ネツ</t>
    </rPh>
    <rPh sb="9" eb="11">
      <t>カンサン</t>
    </rPh>
    <phoneticPr fontId="4"/>
  </si>
  <si>
    <t>↓発電するための必要量</t>
    <rPh sb="1" eb="3">
      <t>ハツデン</t>
    </rPh>
    <rPh sb="8" eb="11">
      <t>ヒツヨウリョウ</t>
    </rPh>
    <phoneticPr fontId="4"/>
  </si>
  <si>
    <t>バイオマス事業における地域内関係事業者の経済効果の想定</t>
    <rPh sb="5" eb="7">
      <t>ジギョウ</t>
    </rPh>
    <rPh sb="11" eb="14">
      <t>チイキナイ</t>
    </rPh>
    <rPh sb="14" eb="16">
      <t>カンケイ</t>
    </rPh>
    <rPh sb="16" eb="19">
      <t>ジギョウシャ</t>
    </rPh>
    <rPh sb="20" eb="24">
      <t>ケイザイコウカ</t>
    </rPh>
    <rPh sb="25" eb="27">
      <t>ソウテイ</t>
    </rPh>
    <phoneticPr fontId="4"/>
  </si>
  <si>
    <t>イニシャルコスト</t>
    <phoneticPr fontId="4"/>
  </si>
  <si>
    <t>売上高に占める雇用所得</t>
    <rPh sb="0" eb="3">
      <t>ウリアゲダカ</t>
    </rPh>
    <rPh sb="4" eb="5">
      <t>シ</t>
    </rPh>
    <rPh sb="7" eb="9">
      <t>コヨウ</t>
    </rPh>
    <rPh sb="9" eb="11">
      <t>ショトク</t>
    </rPh>
    <phoneticPr fontId="4"/>
  </si>
  <si>
    <t>売上高に占める営業余剰</t>
    <rPh sb="0" eb="3">
      <t>ウリアゲダカ</t>
    </rPh>
    <rPh sb="4" eb="5">
      <t>シ</t>
    </rPh>
    <rPh sb="7" eb="9">
      <t>エイギョウ</t>
    </rPh>
    <rPh sb="9" eb="11">
      <t>ヨジョウ</t>
    </rPh>
    <phoneticPr fontId="4"/>
  </si>
  <si>
    <t>非鉄金属製造業</t>
    <rPh sb="0" eb="4">
      <t>ヒテツキンゾク</t>
    </rPh>
    <rPh sb="4" eb="7">
      <t>セイゾウギョウ</t>
    </rPh>
    <phoneticPr fontId="4"/>
  </si>
  <si>
    <t>生産用機械器具製造業</t>
    <rPh sb="0" eb="2">
      <t>セイサン</t>
    </rPh>
    <rPh sb="2" eb="3">
      <t>ヨウ</t>
    </rPh>
    <rPh sb="3" eb="10">
      <t>キカイキグセイゾウギョウ</t>
    </rPh>
    <phoneticPr fontId="4"/>
  </si>
  <si>
    <t>業務用機械器具製造業</t>
    <rPh sb="0" eb="3">
      <t>ギョウムヨウ</t>
    </rPh>
    <rPh sb="3" eb="10">
      <t>キカイキグセイゾウギョウ</t>
    </rPh>
    <phoneticPr fontId="4"/>
  </si>
  <si>
    <t>電気機械器具製造業</t>
    <rPh sb="0" eb="9">
      <t>デンキキカイキグセイゾウギョウ</t>
    </rPh>
    <phoneticPr fontId="4"/>
  </si>
  <si>
    <t>その他輸送用機械器具製造業</t>
    <rPh sb="2" eb="3">
      <t>タ</t>
    </rPh>
    <rPh sb="3" eb="8">
      <t>ユソウヨウキカイ</t>
    </rPh>
    <rPh sb="8" eb="10">
      <t>キグ</t>
    </rPh>
    <rPh sb="10" eb="13">
      <t>セイゾウギョウ</t>
    </rPh>
    <phoneticPr fontId="4"/>
  </si>
  <si>
    <t>追加する場合はこちらに入力　イニシャル①</t>
    <rPh sb="0" eb="2">
      <t>ツイカ</t>
    </rPh>
    <rPh sb="4" eb="6">
      <t>バアイ</t>
    </rPh>
    <rPh sb="11" eb="13">
      <t>ニュウリョク</t>
    </rPh>
    <phoneticPr fontId="4"/>
  </si>
  <si>
    <t>追加する場合はこちらに入力　イニシャル②</t>
    <rPh sb="0" eb="2">
      <t>ツイカ</t>
    </rPh>
    <rPh sb="4" eb="6">
      <t>バアイ</t>
    </rPh>
    <rPh sb="11" eb="13">
      <t>ニュウリョク</t>
    </rPh>
    <phoneticPr fontId="4"/>
  </si>
  <si>
    <t>追加する場合はこちらに入力　イニシャル③</t>
    <rPh sb="0" eb="2">
      <t>ツイカ</t>
    </rPh>
    <rPh sb="4" eb="6">
      <t>バアイ</t>
    </rPh>
    <rPh sb="11" eb="13">
      <t>ニュウリョク</t>
    </rPh>
    <phoneticPr fontId="4"/>
  </si>
  <si>
    <t>追加する場合はこちらに入力　イニシャル④</t>
    <rPh sb="0" eb="2">
      <t>ツイカ</t>
    </rPh>
    <rPh sb="4" eb="6">
      <t>バアイ</t>
    </rPh>
    <rPh sb="11" eb="13">
      <t>ニュウリョク</t>
    </rPh>
    <phoneticPr fontId="4"/>
  </si>
  <si>
    <t>追加する場合はこちらに入力　イニシャル⑤</t>
    <rPh sb="0" eb="2">
      <t>ツイカ</t>
    </rPh>
    <rPh sb="4" eb="6">
      <t>バアイ</t>
    </rPh>
    <rPh sb="11" eb="13">
      <t>ニュウリョク</t>
    </rPh>
    <phoneticPr fontId="4"/>
  </si>
  <si>
    <t>追加する場合はこちらに入力　イニシャル⑥</t>
    <rPh sb="0" eb="2">
      <t>ツイカ</t>
    </rPh>
    <rPh sb="4" eb="6">
      <t>バアイ</t>
    </rPh>
    <rPh sb="11" eb="13">
      <t>ニュウリョク</t>
    </rPh>
    <phoneticPr fontId="4"/>
  </si>
  <si>
    <t>O&amp;M費用（燃料）</t>
    <rPh sb="3" eb="5">
      <t>ヒヨウ</t>
    </rPh>
    <rPh sb="6" eb="8">
      <t>ネンリョウ</t>
    </rPh>
    <phoneticPr fontId="4"/>
  </si>
  <si>
    <t>食料品製造業</t>
    <rPh sb="0" eb="3">
      <t>ショクリョウヒン</t>
    </rPh>
    <rPh sb="3" eb="6">
      <t>セイゾウギョウ</t>
    </rPh>
    <phoneticPr fontId="4"/>
  </si>
  <si>
    <t>繊維工業</t>
    <rPh sb="0" eb="4">
      <t>センイコウギョウ</t>
    </rPh>
    <phoneticPr fontId="4"/>
  </si>
  <si>
    <t>木材・木製品製造業</t>
    <rPh sb="0" eb="2">
      <t>モクザイ</t>
    </rPh>
    <rPh sb="3" eb="6">
      <t>モクセイヒン</t>
    </rPh>
    <rPh sb="6" eb="9">
      <t>セイゾウギョウ</t>
    </rPh>
    <phoneticPr fontId="4"/>
  </si>
  <si>
    <t>パルプ・紙・紙加工品製造業</t>
    <rPh sb="4" eb="5">
      <t>カミ</t>
    </rPh>
    <rPh sb="6" eb="10">
      <t>カミカコウヒン</t>
    </rPh>
    <rPh sb="10" eb="13">
      <t>セイゾウギョウ</t>
    </rPh>
    <phoneticPr fontId="4"/>
  </si>
  <si>
    <t>印刷・同関連業</t>
    <rPh sb="0" eb="2">
      <t>インサツ</t>
    </rPh>
    <rPh sb="3" eb="6">
      <t>ドウカンレン</t>
    </rPh>
    <rPh sb="6" eb="7">
      <t>ギョウ</t>
    </rPh>
    <phoneticPr fontId="4"/>
  </si>
  <si>
    <t>追加する場合はこちらに入力　O&amp;M（燃料）①</t>
    <rPh sb="0" eb="2">
      <t>ツイカ</t>
    </rPh>
    <rPh sb="4" eb="6">
      <t>バアイ</t>
    </rPh>
    <rPh sb="11" eb="13">
      <t>ニュウリョク</t>
    </rPh>
    <rPh sb="18" eb="20">
      <t>ネンリョウ</t>
    </rPh>
    <phoneticPr fontId="4"/>
  </si>
  <si>
    <t>追加する場合はこちらに入力　O&amp;M（燃料）②</t>
    <rPh sb="0" eb="2">
      <t>ツイカ</t>
    </rPh>
    <rPh sb="4" eb="6">
      <t>バアイ</t>
    </rPh>
    <rPh sb="11" eb="13">
      <t>ニュウリョク</t>
    </rPh>
    <rPh sb="18" eb="20">
      <t>ネンリョウ</t>
    </rPh>
    <phoneticPr fontId="4"/>
  </si>
  <si>
    <t>追加する場合はこちらに入力　O&amp;M（燃料）③</t>
    <rPh sb="0" eb="2">
      <t>ツイカ</t>
    </rPh>
    <rPh sb="4" eb="6">
      <t>バアイ</t>
    </rPh>
    <rPh sb="11" eb="13">
      <t>ニュウリョク</t>
    </rPh>
    <rPh sb="18" eb="20">
      <t>ネンリョウ</t>
    </rPh>
    <phoneticPr fontId="4"/>
  </si>
  <si>
    <t>追加する場合はこちらに入力　O&amp;M（燃料）④</t>
    <rPh sb="0" eb="2">
      <t>ツイカ</t>
    </rPh>
    <rPh sb="4" eb="6">
      <t>バアイ</t>
    </rPh>
    <rPh sb="11" eb="13">
      <t>ニュウリョク</t>
    </rPh>
    <rPh sb="18" eb="20">
      <t>ネンリョウ</t>
    </rPh>
    <phoneticPr fontId="4"/>
  </si>
  <si>
    <t>O&amp;M費用（燃料以外）</t>
    <rPh sb="3" eb="5">
      <t>ヒヨウ</t>
    </rPh>
    <rPh sb="6" eb="8">
      <t>ネンリョウ</t>
    </rPh>
    <rPh sb="8" eb="10">
      <t>イガイ</t>
    </rPh>
    <phoneticPr fontId="4"/>
  </si>
  <si>
    <t>化学工業</t>
    <rPh sb="0" eb="4">
      <t>カガクコウギョウ</t>
    </rPh>
    <phoneticPr fontId="4"/>
  </si>
  <si>
    <t>石油製品・石炭製品製造業</t>
    <rPh sb="0" eb="4">
      <t>セキユセイヒン</t>
    </rPh>
    <rPh sb="5" eb="7">
      <t>セキタン</t>
    </rPh>
    <rPh sb="7" eb="9">
      <t>セイヒン</t>
    </rPh>
    <rPh sb="9" eb="12">
      <t>セイゾウギョウ</t>
    </rPh>
    <phoneticPr fontId="4"/>
  </si>
  <si>
    <t>ガス・熱供給・水道業</t>
    <rPh sb="3" eb="4">
      <t>ネツ</t>
    </rPh>
    <rPh sb="4" eb="6">
      <t>キョウキュウ</t>
    </rPh>
    <rPh sb="7" eb="10">
      <t>スイドウギョウ</t>
    </rPh>
    <phoneticPr fontId="4"/>
  </si>
  <si>
    <t>情報通信業</t>
    <rPh sb="0" eb="5">
      <t>ジョウホウツウシンギョウ</t>
    </rPh>
    <phoneticPr fontId="4"/>
  </si>
  <si>
    <t>その他のサービス業</t>
    <rPh sb="2" eb="3">
      <t>タ</t>
    </rPh>
    <rPh sb="8" eb="9">
      <t>ギョウ</t>
    </rPh>
    <phoneticPr fontId="4"/>
  </si>
  <si>
    <t>損害保険業</t>
    <rPh sb="0" eb="4">
      <t>ソンガイホケン</t>
    </rPh>
    <rPh sb="4" eb="5">
      <t>ギョウ</t>
    </rPh>
    <phoneticPr fontId="4"/>
  </si>
  <si>
    <t>不動産業</t>
    <rPh sb="0" eb="4">
      <t>フドウサンギョウ</t>
    </rPh>
    <phoneticPr fontId="4"/>
  </si>
  <si>
    <t>追加する場合はこちらに入力　O&amp;M（燃料以外）①</t>
    <rPh sb="0" eb="2">
      <t>ツイカ</t>
    </rPh>
    <rPh sb="4" eb="6">
      <t>バアイ</t>
    </rPh>
    <rPh sb="11" eb="13">
      <t>ニュウリョク</t>
    </rPh>
    <phoneticPr fontId="4"/>
  </si>
  <si>
    <t>追加する場合はこちらに入力　O&amp;M（燃料以外）②</t>
    <rPh sb="0" eb="2">
      <t>ツイカ</t>
    </rPh>
    <rPh sb="4" eb="6">
      <t>バアイ</t>
    </rPh>
    <rPh sb="11" eb="13">
      <t>ニュウリョク</t>
    </rPh>
    <phoneticPr fontId="4"/>
  </si>
  <si>
    <t>追加する場合はこちらに入力　O&amp;M（燃料以外）③</t>
    <rPh sb="0" eb="2">
      <t>ツイカ</t>
    </rPh>
    <rPh sb="4" eb="6">
      <t>バアイ</t>
    </rPh>
    <rPh sb="11" eb="13">
      <t>ニュウリョク</t>
    </rPh>
    <phoneticPr fontId="4"/>
  </si>
  <si>
    <t>追加する場合はこちらに入力　O&amp;M（燃料以外）④</t>
    <rPh sb="0" eb="2">
      <t>ツイカ</t>
    </rPh>
    <rPh sb="4" eb="6">
      <t>バアイ</t>
    </rPh>
    <rPh sb="11" eb="13">
      <t>ニュウリョク</t>
    </rPh>
    <phoneticPr fontId="4"/>
  </si>
  <si>
    <t>追加する場合はこちらに入力　O&amp;M（燃料以外）⑤</t>
    <rPh sb="0" eb="2">
      <t>ツイカ</t>
    </rPh>
    <rPh sb="4" eb="6">
      <t>バアイ</t>
    </rPh>
    <rPh sb="11" eb="13">
      <t>ニュウリョク</t>
    </rPh>
    <phoneticPr fontId="4"/>
  </si>
  <si>
    <t>追加する場合はこちらに入力　O&amp;M（燃料以外）⑥</t>
    <rPh sb="0" eb="2">
      <t>ツイカ</t>
    </rPh>
    <rPh sb="4" eb="6">
      <t>バアイ</t>
    </rPh>
    <rPh sb="11" eb="13">
      <t>ニュウリョク</t>
    </rPh>
    <phoneticPr fontId="4"/>
  </si>
  <si>
    <t>追加する場合はこちらに入力　O&amp;M（燃料以外）⑦</t>
    <rPh sb="0" eb="2">
      <t>ツイカ</t>
    </rPh>
    <rPh sb="4" eb="6">
      <t>バアイ</t>
    </rPh>
    <rPh sb="11" eb="13">
      <t>ニュウリョク</t>
    </rPh>
    <phoneticPr fontId="4"/>
  </si>
  <si>
    <t>デフォルト値：法人企業統計2015-2019年平均値より作成</t>
    <rPh sb="5" eb="6">
      <t>チ</t>
    </rPh>
    <rPh sb="7" eb="13">
      <t>ホウジンキギョウトウケイ</t>
    </rPh>
    <rPh sb="22" eb="23">
      <t>ネン</t>
    </rPh>
    <rPh sb="23" eb="26">
      <t>ヘイキンチ</t>
    </rPh>
    <rPh sb="28" eb="30">
      <t>サクセイ</t>
    </rPh>
    <phoneticPr fontId="4"/>
  </si>
  <si>
    <t>イニシャル</t>
    <phoneticPr fontId="5"/>
  </si>
  <si>
    <t>O&amp;M（燃料）</t>
    <rPh sb="4" eb="6">
      <t>ネンリョウ</t>
    </rPh>
    <phoneticPr fontId="5"/>
  </si>
  <si>
    <t>O&amp;M（燃料以外）</t>
    <rPh sb="4" eb="6">
      <t>ネンリョウ</t>
    </rPh>
    <rPh sb="6" eb="8">
      <t>イガイ</t>
    </rPh>
    <phoneticPr fontId="5"/>
  </si>
  <si>
    <t>参照：財務総合政策研究所「法人企業統計」（2021/3/時点）</t>
    <rPh sb="0" eb="2">
      <t>サンショウ</t>
    </rPh>
    <rPh sb="3" eb="5">
      <t>ザイム</t>
    </rPh>
    <rPh sb="5" eb="12">
      <t>ソウゴウセイサクケンキュウショ</t>
    </rPh>
    <rPh sb="13" eb="19">
      <t>ホウジンキギョウトウケイ</t>
    </rPh>
    <rPh sb="28" eb="30">
      <t>ジテン</t>
    </rPh>
    <phoneticPr fontId="4"/>
  </si>
  <si>
    <t>年数</t>
    <rPh sb="0" eb="2">
      <t>ネンスウ</t>
    </rPh>
    <phoneticPr fontId="5"/>
  </si>
  <si>
    <t>電力購入価格</t>
    <rPh sb="0" eb="6">
      <t>デンリョクコウニュウカカク</t>
    </rPh>
    <phoneticPr fontId="4"/>
  </si>
  <si>
    <t>計算手法</t>
    <rPh sb="0" eb="2">
      <t>ケイサン</t>
    </rPh>
    <rPh sb="2" eb="4">
      <t>シュホウ</t>
    </rPh>
    <phoneticPr fontId="5"/>
  </si>
  <si>
    <t>←バイオマス熱量とエネルギー変換効率から評価する場合は「1  バイオマス投入量から計算」を、
　  設備の定格出力から算出する場合は「出力から直接計算」を選択</t>
    <rPh sb="6" eb="7">
      <t>ネツ</t>
    </rPh>
    <rPh sb="7" eb="8">
      <t>リョウ</t>
    </rPh>
    <rPh sb="14" eb="18">
      <t>ヘンカンコウリツ</t>
    </rPh>
    <rPh sb="20" eb="22">
      <t>ヒョウカ</t>
    </rPh>
    <rPh sb="24" eb="26">
      <t>バアイ</t>
    </rPh>
    <rPh sb="50" eb="52">
      <t>セツビ</t>
    </rPh>
    <rPh sb="53" eb="57">
      <t>テイカクシュツリョク</t>
    </rPh>
    <rPh sb="59" eb="61">
      <t>サンシュツ</t>
    </rPh>
    <rPh sb="63" eb="65">
      <t>バアイ</t>
    </rPh>
    <rPh sb="67" eb="69">
      <t>シュツリョク</t>
    </rPh>
    <rPh sb="71" eb="73">
      <t>チョクセツ</t>
    </rPh>
    <rPh sb="73" eb="75">
      <t>ケイサン</t>
    </rPh>
    <rPh sb="77" eb="79">
      <t>センタク</t>
    </rPh>
    <phoneticPr fontId="4"/>
  </si>
  <si>
    <r>
      <t xml:space="preserve">1  </t>
    </r>
    <r>
      <rPr>
        <sz val="10"/>
        <color theme="0"/>
        <rFont val="ＭＳ Ｐゴシック"/>
        <family val="3"/>
        <charset val="128"/>
      </rPr>
      <t>バイオマス投入量から計算</t>
    </r>
    <rPh sb="8" eb="11">
      <t>トウニュウリョウ</t>
    </rPh>
    <rPh sb="13" eb="15">
      <t>ケイサン</t>
    </rPh>
    <phoneticPr fontId="5"/>
  </si>
  <si>
    <t>事業開始前の処理価格</t>
    <rPh sb="0" eb="4">
      <t>ジギョウカイシ</t>
    </rPh>
    <rPh sb="4" eb="5">
      <t>マエ</t>
    </rPh>
    <rPh sb="6" eb="8">
      <t>ショリ</t>
    </rPh>
    <rPh sb="8" eb="10">
      <t>カカク</t>
    </rPh>
    <phoneticPr fontId="4"/>
  </si>
  <si>
    <r>
      <t>24</t>
    </r>
    <r>
      <rPr>
        <sz val="11"/>
        <color theme="1"/>
        <rFont val="ＭＳ Ｐゴシック"/>
        <family val="3"/>
        <charset val="128"/>
      </rPr>
      <t>時間稼働想定</t>
    </r>
    <rPh sb="2" eb="4">
      <t>ジカン</t>
    </rPh>
    <rPh sb="4" eb="6">
      <t>カドウ</t>
    </rPh>
    <rPh sb="6" eb="8">
      <t>ソウテイ</t>
    </rPh>
    <phoneticPr fontId="4"/>
  </si>
  <si>
    <t>調達価格算定委員会のメタン発酵設備の平均初期投資費用から算出</t>
    <rPh sb="0" eb="2">
      <t>チョウタツ</t>
    </rPh>
    <rPh sb="2" eb="4">
      <t>カカク</t>
    </rPh>
    <rPh sb="4" eb="9">
      <t>サンテイイインカイ</t>
    </rPh>
    <rPh sb="13" eb="15">
      <t>ハッコウ</t>
    </rPh>
    <rPh sb="15" eb="17">
      <t>セツビ</t>
    </rPh>
    <rPh sb="18" eb="20">
      <t>ヘイキン</t>
    </rPh>
    <rPh sb="20" eb="24">
      <t>ショキトウシ</t>
    </rPh>
    <rPh sb="24" eb="26">
      <t>ヒヨウ</t>
    </rPh>
    <rPh sb="28" eb="30">
      <t>サンシュツ</t>
    </rPh>
    <phoneticPr fontId="4"/>
  </si>
  <si>
    <t>調達価格算定委員会のメタン発酵設備の運転維持費用から算出</t>
    <rPh sb="0" eb="2">
      <t>チョウタツ</t>
    </rPh>
    <rPh sb="2" eb="4">
      <t>カカク</t>
    </rPh>
    <rPh sb="4" eb="9">
      <t>サンテイイインカイ</t>
    </rPh>
    <rPh sb="13" eb="15">
      <t>ハッコウ</t>
    </rPh>
    <rPh sb="15" eb="17">
      <t>セツビ</t>
    </rPh>
    <rPh sb="18" eb="20">
      <t>ウンテン</t>
    </rPh>
    <rPh sb="20" eb="22">
      <t>イジ</t>
    </rPh>
    <rPh sb="22" eb="24">
      <t>ヒヨウ</t>
    </rPh>
    <rPh sb="26" eb="28">
      <t>サンシュツ</t>
    </rPh>
    <phoneticPr fontId="4"/>
  </si>
  <si>
    <t>エネルギー価格</t>
    <rPh sb="5" eb="7">
      <t>カカク</t>
    </rPh>
    <phoneticPr fontId="4"/>
  </si>
  <si>
    <t>事業での売電価格</t>
    <rPh sb="0" eb="2">
      <t>ジギョウ</t>
    </rPh>
    <rPh sb="4" eb="6">
      <t>バイデン</t>
    </rPh>
    <rPh sb="6" eb="8">
      <t>カカク</t>
    </rPh>
    <phoneticPr fontId="4"/>
  </si>
  <si>
    <t>廃棄物処理価格</t>
    <rPh sb="0" eb="3">
      <t>ハイキブツ</t>
    </rPh>
    <rPh sb="3" eb="5">
      <t>ショリ</t>
    </rPh>
    <rPh sb="5" eb="7">
      <t>カカク</t>
    </rPh>
    <phoneticPr fontId="5"/>
  </si>
  <si>
    <t>事業での受入価格</t>
    <rPh sb="0" eb="2">
      <t>ジギョウ</t>
    </rPh>
    <rPh sb="4" eb="6">
      <t>ウケイレ</t>
    </rPh>
    <rPh sb="6" eb="8">
      <t>カカク</t>
    </rPh>
    <phoneticPr fontId="4"/>
  </si>
  <si>
    <t>【入力】事業開始前後での価格の想定</t>
    <rPh sb="1" eb="3">
      <t>ニュウリョク</t>
    </rPh>
    <rPh sb="4" eb="8">
      <t>ジギョウカイシ</t>
    </rPh>
    <rPh sb="8" eb="10">
      <t>ゼンゴ</t>
    </rPh>
    <rPh sb="12" eb="14">
      <t>カカク</t>
    </rPh>
    <rPh sb="15" eb="17">
      <t>ソウテイ</t>
    </rPh>
    <phoneticPr fontId="5"/>
  </si>
  <si>
    <t>※人件費についてバイオマス事業における地域内事業者の割合</t>
    <rPh sb="1" eb="4">
      <t>ジンケンヒ</t>
    </rPh>
    <rPh sb="13" eb="15">
      <t>ジギョウ</t>
    </rPh>
    <rPh sb="19" eb="21">
      <t>チイキ</t>
    </rPh>
    <rPh sb="21" eb="22">
      <t>ナイ</t>
    </rPh>
    <rPh sb="22" eb="25">
      <t>ジギョウシャ</t>
    </rPh>
    <rPh sb="26" eb="28">
      <t>ワリアイ</t>
    </rPh>
    <phoneticPr fontId="4"/>
  </si>
  <si>
    <t>【入力】初期投資・運転維持における地域内事業者の関与割合（支払額ベース）</t>
    <rPh sb="1" eb="3">
      <t>ニュウリョク</t>
    </rPh>
    <rPh sb="4" eb="6">
      <t>ショキ</t>
    </rPh>
    <rPh sb="6" eb="8">
      <t>トウシ</t>
    </rPh>
    <rPh sb="9" eb="11">
      <t>ウンテン</t>
    </rPh>
    <rPh sb="11" eb="13">
      <t>イジ</t>
    </rPh>
    <rPh sb="17" eb="19">
      <t>チイキ</t>
    </rPh>
    <rPh sb="19" eb="20">
      <t>ナイ</t>
    </rPh>
    <rPh sb="20" eb="23">
      <t>ジギョウシャ</t>
    </rPh>
    <rPh sb="24" eb="26">
      <t>カンヨ</t>
    </rPh>
    <rPh sb="26" eb="28">
      <t>ワリアイ</t>
    </rPh>
    <rPh sb="29" eb="32">
      <t>シハライガク</t>
    </rPh>
    <phoneticPr fontId="5"/>
  </si>
  <si>
    <t>国や自治体の助成金など</t>
    <rPh sb="0" eb="1">
      <t>クニ</t>
    </rPh>
    <rPh sb="2" eb="5">
      <t>ジチタイ</t>
    </rPh>
    <rPh sb="6" eb="9">
      <t>ジョセイキン</t>
    </rPh>
    <phoneticPr fontId="4"/>
  </si>
  <si>
    <t>地域内の金融機関から借り入れを行っている費用</t>
    <rPh sb="0" eb="3">
      <t>チイキナイ</t>
    </rPh>
    <rPh sb="4" eb="8">
      <t>キンユウキカン</t>
    </rPh>
    <rPh sb="10" eb="11">
      <t>カ</t>
    </rPh>
    <rPh sb="12" eb="13">
      <t>イ</t>
    </rPh>
    <rPh sb="15" eb="16">
      <t>オコナ</t>
    </rPh>
    <rPh sb="20" eb="22">
      <t>ヒヨウ</t>
    </rPh>
    <phoneticPr fontId="4"/>
  </si>
  <si>
    <t>　上記の金利</t>
    <rPh sb="1" eb="3">
      <t>ジョウキ</t>
    </rPh>
    <rPh sb="4" eb="6">
      <t>キンリ</t>
    </rPh>
    <phoneticPr fontId="4"/>
  </si>
  <si>
    <t>　上記の借用年数</t>
    <rPh sb="1" eb="3">
      <t>ジョウキ</t>
    </rPh>
    <rPh sb="4" eb="6">
      <t>シャクヨウ</t>
    </rPh>
    <rPh sb="6" eb="8">
      <t>ネンスウ</t>
    </rPh>
    <phoneticPr fontId="4"/>
  </si>
  <si>
    <t>地域外の金融機関から借り入れを行っている費用</t>
    <rPh sb="0" eb="3">
      <t>チイキガイ</t>
    </rPh>
    <rPh sb="4" eb="8">
      <t>キンユウキカン</t>
    </rPh>
    <rPh sb="10" eb="11">
      <t>カ</t>
    </rPh>
    <rPh sb="12" eb="13">
      <t>イ</t>
    </rPh>
    <rPh sb="15" eb="16">
      <t>オコナ</t>
    </rPh>
    <rPh sb="20" eb="22">
      <t>ヒヨウ</t>
    </rPh>
    <phoneticPr fontId="4"/>
  </si>
  <si>
    <t>Point　初期投資コストの検討</t>
    <rPh sb="6" eb="8">
      <t>ショキ</t>
    </rPh>
    <rPh sb="8" eb="10">
      <t>トウシ</t>
    </rPh>
    <rPh sb="14" eb="16">
      <t>ケントウ</t>
    </rPh>
    <phoneticPr fontId="4"/>
  </si>
  <si>
    <t>Point　維持管理費用の工夫</t>
    <rPh sb="6" eb="8">
      <t>イジ</t>
    </rPh>
    <rPh sb="8" eb="10">
      <t>カンリ</t>
    </rPh>
    <rPh sb="10" eb="12">
      <t>ヒヨウ</t>
    </rPh>
    <rPh sb="13" eb="15">
      <t>クフウ</t>
    </rPh>
    <phoneticPr fontId="4"/>
  </si>
  <si>
    <t>Point　廃棄物受入れ料金の想定</t>
    <rPh sb="6" eb="9">
      <t>ハイキブツ</t>
    </rPh>
    <rPh sb="9" eb="11">
      <t>ウケイ</t>
    </rPh>
    <rPh sb="12" eb="14">
      <t>リョウキン</t>
    </rPh>
    <rPh sb="15" eb="17">
      <t>ソウテイ</t>
    </rPh>
    <phoneticPr fontId="4"/>
  </si>
  <si>
    <t>ご利用にあたって</t>
    <rPh sb="1" eb="3">
      <t>リヨウ</t>
    </rPh>
    <phoneticPr fontId="4"/>
  </si>
  <si>
    <t>堆肥・固形残さ</t>
    <rPh sb="0" eb="2">
      <t>タイヒ</t>
    </rPh>
    <rPh sb="3" eb="5">
      <t>コケイ</t>
    </rPh>
    <rPh sb="5" eb="6">
      <t>ザン</t>
    </rPh>
    <phoneticPr fontId="4"/>
  </si>
  <si>
    <r>
      <rPr>
        <sz val="11"/>
        <color theme="1"/>
        <rFont val="ＭＳ Ｐゴシック"/>
        <family val="3"/>
        <charset val="128"/>
      </rPr>
      <t>　</t>
    </r>
    <r>
      <rPr>
        <sz val="11"/>
        <color theme="1"/>
        <rFont val="Arial"/>
        <family val="2"/>
      </rPr>
      <t>FS</t>
    </r>
    <r>
      <rPr>
        <sz val="11"/>
        <color theme="1"/>
        <rFont val="ＭＳ Ｐゴシック"/>
        <family val="3"/>
        <charset val="128"/>
      </rPr>
      <t>事業情報から初期投資費用の</t>
    </r>
    <r>
      <rPr>
        <sz val="11"/>
        <color theme="1"/>
        <rFont val="Arial"/>
        <family val="2"/>
      </rPr>
      <t>75%</t>
    </r>
    <r>
      <rPr>
        <sz val="11"/>
        <color theme="1"/>
        <rFont val="ＭＳ Ｐゴシック"/>
        <family val="3"/>
        <charset val="128"/>
      </rPr>
      <t>と想定</t>
    </r>
    <rPh sb="3" eb="5">
      <t>ジギョウ</t>
    </rPh>
    <rPh sb="5" eb="7">
      <t>ジョウホウ</t>
    </rPh>
    <rPh sb="9" eb="13">
      <t>ショキトウシ</t>
    </rPh>
    <rPh sb="13" eb="15">
      <t>ヒヨウ</t>
    </rPh>
    <rPh sb="20" eb="22">
      <t>ソウテイ</t>
    </rPh>
    <phoneticPr fontId="4"/>
  </si>
  <si>
    <r>
      <rPr>
        <sz val="11"/>
        <color theme="1"/>
        <rFont val="ＭＳ Ｐゴシック"/>
        <family val="3"/>
        <charset val="128"/>
      </rPr>
      <t>　</t>
    </r>
    <r>
      <rPr>
        <sz val="11"/>
        <color theme="1"/>
        <rFont val="Arial"/>
        <family val="2"/>
      </rPr>
      <t>FS</t>
    </r>
    <r>
      <rPr>
        <sz val="11"/>
        <color theme="1"/>
        <rFont val="ＭＳ Ｐゴシック"/>
        <family val="3"/>
        <charset val="128"/>
      </rPr>
      <t>事業情報から初期投資費用の</t>
    </r>
    <r>
      <rPr>
        <sz val="11"/>
        <color theme="1"/>
        <rFont val="Arial"/>
        <family val="2"/>
      </rPr>
      <t>25</t>
    </r>
    <r>
      <rPr>
        <sz val="11"/>
        <color theme="1"/>
        <rFont val="ＭＳ Ｐゴシック"/>
        <family val="3"/>
        <charset val="128"/>
      </rPr>
      <t>％と想定</t>
    </r>
    <rPh sb="3" eb="5">
      <t>ジギョウ</t>
    </rPh>
    <rPh sb="5" eb="7">
      <t>ジョウホウ</t>
    </rPh>
    <rPh sb="9" eb="13">
      <t>ショキトウシ</t>
    </rPh>
    <rPh sb="13" eb="15">
      <t>ヒヨウ</t>
    </rPh>
    <rPh sb="20" eb="22">
      <t>ソウテイ</t>
    </rPh>
    <phoneticPr fontId="4"/>
  </si>
  <si>
    <t>資本費</t>
    <rPh sb="0" eb="3">
      <t>シホンヒ</t>
    </rPh>
    <phoneticPr fontId="4"/>
  </si>
  <si>
    <t>設備費用</t>
    <rPh sb="0" eb="2">
      <t>セツビ</t>
    </rPh>
    <rPh sb="2" eb="4">
      <t>ヒヨウ</t>
    </rPh>
    <phoneticPr fontId="4"/>
  </si>
  <si>
    <t>工事費</t>
    <rPh sb="0" eb="3">
      <t>コウジヒ</t>
    </rPh>
    <phoneticPr fontId="4"/>
  </si>
  <si>
    <t>化学工業</t>
    <rPh sb="0" eb="4">
      <t>カガクコウギョウ</t>
    </rPh>
    <phoneticPr fontId="4"/>
  </si>
  <si>
    <t>ガス・熱供給・水道業</t>
    <phoneticPr fontId="4"/>
  </si>
  <si>
    <t>電気業</t>
    <phoneticPr fontId="4"/>
  </si>
  <si>
    <t>再エネ事業者</t>
    <rPh sb="0" eb="1">
      <t>サイ</t>
    </rPh>
    <rPh sb="3" eb="6">
      <t>ジギョウシャ</t>
    </rPh>
    <phoneticPr fontId="4"/>
  </si>
  <si>
    <t>情報通信業</t>
    <phoneticPr fontId="4"/>
  </si>
  <si>
    <t>損害保険業</t>
    <phoneticPr fontId="4"/>
  </si>
  <si>
    <t>不動産業</t>
    <phoneticPr fontId="4"/>
  </si>
  <si>
    <t>はん用機械器具製造業</t>
    <rPh sb="2" eb="3">
      <t>ヨウ</t>
    </rPh>
    <rPh sb="3" eb="10">
      <t>キカイキグセイゾウギョウ</t>
    </rPh>
    <phoneticPr fontId="4"/>
  </si>
  <si>
    <t>はん用機械器具製造業</t>
    <rPh sb="2" eb="3">
      <t>ヨウ</t>
    </rPh>
    <rPh sb="3" eb="10">
      <t>キカイキグセイゾウギョウ</t>
    </rPh>
    <phoneticPr fontId="4"/>
  </si>
  <si>
    <t>建設業</t>
    <rPh sb="0" eb="3">
      <t>ケンセツギョウ</t>
    </rPh>
    <phoneticPr fontId="4"/>
  </si>
  <si>
    <t>銀行業</t>
    <rPh sb="0" eb="3">
      <t>ギンコウギョウ</t>
    </rPh>
    <phoneticPr fontId="4"/>
  </si>
  <si>
    <t>地域経済分析における入力値の考え方</t>
    <rPh sb="0" eb="4">
      <t>チイキケイザイ</t>
    </rPh>
    <rPh sb="4" eb="6">
      <t>ブンセキ</t>
    </rPh>
    <rPh sb="10" eb="13">
      <t>ニュウリョクチ</t>
    </rPh>
    <rPh sb="14" eb="15">
      <t>カンガ</t>
    </rPh>
    <rPh sb="16" eb="17">
      <t>カタ</t>
    </rPh>
    <phoneticPr fontId="4"/>
  </si>
  <si>
    <t>　・　原料種の事業開始前の販売価格</t>
    <rPh sb="3" eb="5">
      <t>ゲンリョウ</t>
    </rPh>
    <rPh sb="5" eb="6">
      <t>シュ</t>
    </rPh>
    <rPh sb="7" eb="9">
      <t>ジギョウ</t>
    </rPh>
    <rPh sb="9" eb="11">
      <t>カイシ</t>
    </rPh>
    <rPh sb="11" eb="12">
      <t>マエ</t>
    </rPh>
    <rPh sb="13" eb="15">
      <t>ハンバイ</t>
    </rPh>
    <rPh sb="15" eb="17">
      <t>カカク</t>
    </rPh>
    <phoneticPr fontId="4"/>
  </si>
  <si>
    <t>　　 デフォルト値にはSTEP1で入力した値と同じ値が設定</t>
    <rPh sb="8" eb="9">
      <t>チ</t>
    </rPh>
    <rPh sb="17" eb="19">
      <t>ニュウリョク</t>
    </rPh>
    <rPh sb="21" eb="22">
      <t>アタイ</t>
    </rPh>
    <rPh sb="23" eb="24">
      <t>ドウ</t>
    </rPh>
    <rPh sb="25" eb="26">
      <t>アタイ</t>
    </rPh>
    <rPh sb="27" eb="29">
      <t>セッテイ</t>
    </rPh>
    <phoneticPr fontId="5"/>
  </si>
  <si>
    <t>　・　エネルギーの従来価格</t>
    <rPh sb="9" eb="11">
      <t>ジュウライ</t>
    </rPh>
    <rPh sb="11" eb="13">
      <t>カカク</t>
    </rPh>
    <phoneticPr fontId="5"/>
  </si>
  <si>
    <t>→　本事業において電力・熱販売を想定する消費者が、いくらで電力・熱を購入していたか</t>
    <rPh sb="2" eb="5">
      <t>ホンジギョウ</t>
    </rPh>
    <rPh sb="9" eb="11">
      <t>デンリョク</t>
    </rPh>
    <rPh sb="12" eb="13">
      <t>ネツ</t>
    </rPh>
    <rPh sb="13" eb="15">
      <t>ハンバイ</t>
    </rPh>
    <rPh sb="16" eb="18">
      <t>ソウテイ</t>
    </rPh>
    <rPh sb="20" eb="23">
      <t>ショウヒシャ</t>
    </rPh>
    <rPh sb="29" eb="31">
      <t>デンリョク</t>
    </rPh>
    <rPh sb="32" eb="33">
      <t>ネツ</t>
    </rPh>
    <rPh sb="34" eb="36">
      <t>コウニュウ</t>
    </rPh>
    <phoneticPr fontId="5"/>
  </si>
  <si>
    <t>　　 デフォルト値にはSTEP2と同じ値が設定</t>
    <rPh sb="8" eb="9">
      <t>チ</t>
    </rPh>
    <rPh sb="17" eb="18">
      <t>ドウ</t>
    </rPh>
    <rPh sb="19" eb="20">
      <t>アタイ</t>
    </rPh>
    <rPh sb="21" eb="23">
      <t>セッテイ</t>
    </rPh>
    <phoneticPr fontId="5"/>
  </si>
  <si>
    <t>　・　地域内事業者の関与割合</t>
    <rPh sb="3" eb="6">
      <t>チイキナイ</t>
    </rPh>
    <rPh sb="6" eb="9">
      <t>ジギョウシャ</t>
    </rPh>
    <rPh sb="10" eb="12">
      <t>カンヨ</t>
    </rPh>
    <rPh sb="12" eb="14">
      <t>ワリアイ</t>
    </rPh>
    <phoneticPr fontId="5"/>
  </si>
  <si>
    <t>→　本事業での支出のうち、どの程度の割合が地域内の事業者に支払われるか</t>
    <rPh sb="2" eb="5">
      <t>ホンジギョウ</t>
    </rPh>
    <rPh sb="7" eb="9">
      <t>シシュツ</t>
    </rPh>
    <rPh sb="15" eb="17">
      <t>テイド</t>
    </rPh>
    <rPh sb="18" eb="20">
      <t>ワリアイ</t>
    </rPh>
    <rPh sb="21" eb="23">
      <t>チイキ</t>
    </rPh>
    <rPh sb="23" eb="24">
      <t>ナイ</t>
    </rPh>
    <rPh sb="25" eb="28">
      <t>ジギョウシャ</t>
    </rPh>
    <rPh sb="29" eb="31">
      <t>シハラ</t>
    </rPh>
    <phoneticPr fontId="5"/>
  </si>
  <si>
    <t>　 　デフォルト値には海外メーカーの導入実績の多い設備費で25%、そのほかの費用で50%を仮設定</t>
    <rPh sb="8" eb="9">
      <t>チ</t>
    </rPh>
    <rPh sb="11" eb="13">
      <t>カイガイ</t>
    </rPh>
    <rPh sb="18" eb="22">
      <t>ドウニュウジッセキ</t>
    </rPh>
    <rPh sb="23" eb="24">
      <t>オオ</t>
    </rPh>
    <rPh sb="25" eb="28">
      <t>セツビヒ</t>
    </rPh>
    <rPh sb="38" eb="40">
      <t>ヒヨウ</t>
    </rPh>
    <rPh sb="45" eb="46">
      <t>カリ</t>
    </rPh>
    <phoneticPr fontId="5"/>
  </si>
  <si>
    <t>　・　資金調達の内訳（地域内スポンサー出資）</t>
    <rPh sb="3" eb="7">
      <t>シキンチョウタツ</t>
    </rPh>
    <rPh sb="8" eb="10">
      <t>ウチワケ</t>
    </rPh>
    <rPh sb="11" eb="14">
      <t>チイキナイ</t>
    </rPh>
    <rPh sb="19" eb="21">
      <t>シュッシ</t>
    </rPh>
    <phoneticPr fontId="5"/>
  </si>
  <si>
    <t>→　本事業の資金調達にあたり、地域内のスポンサー（事業実施主体を含む）による出資がどの程度されているか</t>
    <rPh sb="2" eb="3">
      <t>ホン</t>
    </rPh>
    <rPh sb="3" eb="5">
      <t>ジギョウ</t>
    </rPh>
    <rPh sb="6" eb="8">
      <t>シキン</t>
    </rPh>
    <rPh sb="8" eb="10">
      <t>チョウタツ</t>
    </rPh>
    <rPh sb="15" eb="17">
      <t>チイキ</t>
    </rPh>
    <rPh sb="17" eb="18">
      <t>ナイ</t>
    </rPh>
    <rPh sb="25" eb="27">
      <t>ジギョウ</t>
    </rPh>
    <rPh sb="27" eb="31">
      <t>ジッシシュタイ</t>
    </rPh>
    <rPh sb="32" eb="33">
      <t>フク</t>
    </rPh>
    <rPh sb="38" eb="40">
      <t>シュッシ</t>
    </rPh>
    <rPh sb="43" eb="45">
      <t>テイド</t>
    </rPh>
    <phoneticPr fontId="5"/>
  </si>
  <si>
    <t>　　 デフォルト値には50%仮設定</t>
    <rPh sb="8" eb="9">
      <t>チ</t>
    </rPh>
    <rPh sb="14" eb="15">
      <t>カリ</t>
    </rPh>
    <rPh sb="15" eb="17">
      <t>セッテイ</t>
    </rPh>
    <phoneticPr fontId="5"/>
  </si>
  <si>
    <t>→　事業開始前に廃棄物を提供する事業者が、いくらで委託処理をしていたか</t>
    <rPh sb="2" eb="4">
      <t>ジギョウ</t>
    </rPh>
    <rPh sb="4" eb="6">
      <t>カイシ</t>
    </rPh>
    <rPh sb="6" eb="7">
      <t>マエ</t>
    </rPh>
    <rPh sb="8" eb="11">
      <t>ハイキブツ</t>
    </rPh>
    <rPh sb="12" eb="14">
      <t>テイキョウ</t>
    </rPh>
    <rPh sb="16" eb="19">
      <t>ジギョウシャ</t>
    </rPh>
    <rPh sb="25" eb="27">
      <t>イタク</t>
    </rPh>
    <rPh sb="27" eb="29">
      <t>ショリ</t>
    </rPh>
    <phoneticPr fontId="5"/>
  </si>
  <si>
    <t>該当事業例</t>
    <rPh sb="0" eb="2">
      <t>ガイトウ</t>
    </rPh>
    <rPh sb="2" eb="4">
      <t>ジギョウ</t>
    </rPh>
    <rPh sb="4" eb="5">
      <t>レイ</t>
    </rPh>
    <phoneticPr fontId="4"/>
  </si>
  <si>
    <t>STEP2：計算条件の確認（デフォルト値：ツール概算値、確認できている範囲でバイオマス事業の数値に更新）</t>
    <phoneticPr fontId="4"/>
  </si>
  <si>
    <t>STEP3：計算結果の確認（事業の経済性）</t>
    <phoneticPr fontId="4"/>
  </si>
  <si>
    <t>STEP4：地域経済波及効果の試算条件の入力</t>
    <rPh sb="6" eb="8">
      <t>チイキ</t>
    </rPh>
    <rPh sb="8" eb="10">
      <t>ケイザイ</t>
    </rPh>
    <rPh sb="10" eb="14">
      <t>ハキュウコウカ</t>
    </rPh>
    <rPh sb="15" eb="17">
      <t>シサン</t>
    </rPh>
    <rPh sb="17" eb="19">
      <t>ジョウケン</t>
    </rPh>
    <rPh sb="20" eb="22">
      <t>ニュウリョク</t>
    </rPh>
    <phoneticPr fontId="4"/>
  </si>
  <si>
    <t>STEP5：計算結果の確認（事業の地域経済波及効果）</t>
    <rPh sb="6" eb="8">
      <t>ケイサン</t>
    </rPh>
    <rPh sb="8" eb="10">
      <t>ケッカ</t>
    </rPh>
    <rPh sb="11" eb="13">
      <t>カクニン</t>
    </rPh>
    <rPh sb="14" eb="16">
      <t>ジギョウ</t>
    </rPh>
    <rPh sb="17" eb="19">
      <t>チイキ</t>
    </rPh>
    <rPh sb="19" eb="21">
      <t>ケイザイ</t>
    </rPh>
    <rPh sb="21" eb="25">
      <t>ハキュウコウカ</t>
    </rPh>
    <phoneticPr fontId="4"/>
  </si>
  <si>
    <t>本ツールの使い方</t>
    <rPh sb="0" eb="1">
      <t>ホン</t>
    </rPh>
    <rPh sb="5" eb="6">
      <t>ツカ</t>
    </rPh>
    <rPh sb="7" eb="8">
      <t>カタ</t>
    </rPh>
    <phoneticPr fontId="4"/>
  </si>
  <si>
    <t>STEP1の量・受入価格の入力で結果は出力されます。</t>
    <rPh sb="6" eb="7">
      <t>リョウ</t>
    </rPh>
    <rPh sb="8" eb="9">
      <t>ウ</t>
    </rPh>
    <rPh sb="9" eb="10">
      <t>イ</t>
    </rPh>
    <rPh sb="10" eb="12">
      <t>カカク</t>
    </rPh>
    <rPh sb="13" eb="15">
      <t>ニュウリョク</t>
    </rPh>
    <rPh sb="16" eb="18">
      <t>ケッカ</t>
    </rPh>
    <rPh sb="19" eb="21">
      <t>シュツリョク</t>
    </rPh>
    <phoneticPr fontId="4"/>
  </si>
  <si>
    <t>STEP2以降のセルはデフォルト値として前提条件を概算しています。事業検討の進捗等に合わせて手入力で更新ください</t>
    <rPh sb="5" eb="7">
      <t>イコウ</t>
    </rPh>
    <rPh sb="16" eb="17">
      <t>チ</t>
    </rPh>
    <rPh sb="20" eb="24">
      <t>ゼンテイジョウケン</t>
    </rPh>
    <rPh sb="25" eb="27">
      <t>ガイサン</t>
    </rPh>
    <rPh sb="33" eb="35">
      <t>ジギョウ</t>
    </rPh>
    <rPh sb="35" eb="37">
      <t>ケントウ</t>
    </rPh>
    <rPh sb="38" eb="40">
      <t>シンチョク</t>
    </rPh>
    <rPh sb="40" eb="41">
      <t>トウ</t>
    </rPh>
    <rPh sb="42" eb="43">
      <t>ア</t>
    </rPh>
    <rPh sb="46" eb="49">
      <t>テニュウリョク</t>
    </rPh>
    <rPh sb="50" eb="52">
      <t>コウシン</t>
    </rPh>
    <phoneticPr fontId="4"/>
  </si>
  <si>
    <t>（その際セルの関数が解除されますので別ファイルでの作成を推奨いたします）</t>
  </si>
  <si>
    <t>バイオマス原料の想定</t>
    <rPh sb="5" eb="7">
      <t>ゲンリョウ</t>
    </rPh>
    <rPh sb="8" eb="10">
      <t>ソウテイ</t>
    </rPh>
    <phoneticPr fontId="5"/>
  </si>
  <si>
    <t xml:space="preserve"> STEP1</t>
    <phoneticPr fontId="4"/>
  </si>
  <si>
    <t xml:space="preserve"> STEP2</t>
    <phoneticPr fontId="4"/>
  </si>
  <si>
    <t>　○メタン発酵によるバイオマス事業イメージ</t>
    <rPh sb="5" eb="7">
      <t>ハッコウ</t>
    </rPh>
    <rPh sb="15" eb="17">
      <t>ジギョウ</t>
    </rPh>
    <phoneticPr fontId="4"/>
  </si>
  <si>
    <t>はじめに</t>
    <phoneticPr fontId="4"/>
  </si>
  <si>
    <t>本ツールの利用想定・前提</t>
    <rPh sb="0" eb="1">
      <t>ホン</t>
    </rPh>
    <rPh sb="5" eb="7">
      <t>リヨウ</t>
    </rPh>
    <rPh sb="7" eb="9">
      <t>ソウテイ</t>
    </rPh>
    <rPh sb="10" eb="12">
      <t>ゼンテイ</t>
    </rPh>
    <phoneticPr fontId="4"/>
  </si>
  <si>
    <t>○他の公開ツールとの関係</t>
    <rPh sb="1" eb="2">
      <t>タ</t>
    </rPh>
    <rPh sb="3" eb="5">
      <t>コウカイ</t>
    </rPh>
    <rPh sb="10" eb="12">
      <t>カンケイ</t>
    </rPh>
    <phoneticPr fontId="4"/>
  </si>
  <si>
    <t>このとき、入力値以外の支出項目は調達価格算定等委員会やNEDOの地域自立システム化実証事業におけるFS報告書、事業者からのヒアリングをもとに想定した値となっており、</t>
    <rPh sb="5" eb="8">
      <t>ニュウリョクチ</t>
    </rPh>
    <rPh sb="8" eb="10">
      <t>イガイ</t>
    </rPh>
    <rPh sb="11" eb="13">
      <t>シシュツ</t>
    </rPh>
    <rPh sb="13" eb="15">
      <t>コウモク</t>
    </rPh>
    <rPh sb="16" eb="18">
      <t>チョウタツ</t>
    </rPh>
    <rPh sb="18" eb="20">
      <t>カカク</t>
    </rPh>
    <rPh sb="20" eb="22">
      <t>サンテイ</t>
    </rPh>
    <rPh sb="22" eb="23">
      <t>トウ</t>
    </rPh>
    <rPh sb="23" eb="26">
      <t>イインカイ</t>
    </rPh>
    <rPh sb="32" eb="34">
      <t>チイキ</t>
    </rPh>
    <rPh sb="34" eb="36">
      <t>ジリツ</t>
    </rPh>
    <rPh sb="40" eb="41">
      <t>カ</t>
    </rPh>
    <rPh sb="41" eb="43">
      <t>ジッショウ</t>
    </rPh>
    <rPh sb="43" eb="45">
      <t>ジギョウ</t>
    </rPh>
    <rPh sb="51" eb="54">
      <t>ホウコクショ</t>
    </rPh>
    <rPh sb="55" eb="58">
      <t>ジギョウシャ</t>
    </rPh>
    <rPh sb="70" eb="72">
      <t>ソウテイ</t>
    </rPh>
    <rPh sb="74" eb="75">
      <t>アタイ</t>
    </rPh>
    <phoneticPr fontId="4"/>
  </si>
  <si>
    <t>実際に検討を進めていくにつれて、地域によってこれらの想定値が全く異なる場合があることにご留意ください。</t>
    <rPh sb="0" eb="2">
      <t>ジッサイ</t>
    </rPh>
    <rPh sb="3" eb="5">
      <t>ケントウ</t>
    </rPh>
    <rPh sb="6" eb="7">
      <t>スス</t>
    </rPh>
    <rPh sb="16" eb="18">
      <t>チイキ</t>
    </rPh>
    <rPh sb="26" eb="28">
      <t>ソウテイ</t>
    </rPh>
    <rPh sb="28" eb="29">
      <t>チ</t>
    </rPh>
    <rPh sb="30" eb="31">
      <t>マッタ</t>
    </rPh>
    <rPh sb="32" eb="33">
      <t>コト</t>
    </rPh>
    <rPh sb="35" eb="37">
      <t>バアイ</t>
    </rPh>
    <rPh sb="44" eb="46">
      <t>リュウイ</t>
    </rPh>
    <phoneticPr fontId="4"/>
  </si>
  <si>
    <t>○主な費用想定</t>
    <rPh sb="1" eb="2">
      <t>オモ</t>
    </rPh>
    <rPh sb="3" eb="5">
      <t>ヒヨウ</t>
    </rPh>
    <rPh sb="5" eb="7">
      <t>ソウテイ</t>
    </rPh>
    <phoneticPr fontId="4"/>
  </si>
  <si>
    <t>廃棄物ごとのメタン製造量</t>
    <rPh sb="0" eb="3">
      <t>ハイキブツ</t>
    </rPh>
    <rPh sb="9" eb="11">
      <t>セイゾウ</t>
    </rPh>
    <rPh sb="11" eb="12">
      <t>リョウ</t>
    </rPh>
    <phoneticPr fontId="4"/>
  </si>
  <si>
    <t>設備費用</t>
    <rPh sb="0" eb="2">
      <t>セツビ</t>
    </rPh>
    <rPh sb="2" eb="4">
      <t>ヒヨウ</t>
    </rPh>
    <phoneticPr fontId="4"/>
  </si>
  <si>
    <t>運転維持費用</t>
    <rPh sb="0" eb="2">
      <t>ウンテン</t>
    </rPh>
    <rPh sb="2" eb="4">
      <t>イジ</t>
    </rPh>
    <rPh sb="4" eb="6">
      <t>ヒヨウ</t>
    </rPh>
    <phoneticPr fontId="4"/>
  </si>
  <si>
    <t>廃棄物の受入れ価格</t>
    <rPh sb="0" eb="3">
      <t>ハイキブツ</t>
    </rPh>
    <rPh sb="4" eb="6">
      <t>ウケイ</t>
    </rPh>
    <rPh sb="7" eb="9">
      <t>カカク</t>
    </rPh>
    <phoneticPr fontId="4"/>
  </si>
  <si>
    <t>出典：「廃棄物系バイオマス利活用導入マニュアル」、環境省大臣官房廃棄物</t>
    <phoneticPr fontId="4"/>
  </si>
  <si>
    <t>環境省「廃棄物系バイオマス利活用 導入マニュアル」を引用</t>
    <rPh sb="0" eb="2">
      <t>カンキョウ</t>
    </rPh>
    <rPh sb="2" eb="3">
      <t>ショウ</t>
    </rPh>
    <rPh sb="26" eb="28">
      <t>インヨウ</t>
    </rPh>
    <phoneticPr fontId="4"/>
  </si>
  <si>
    <t>事業者ヒアリング・各種公開資料より設定</t>
    <rPh sb="0" eb="3">
      <t>ジギョウシャ</t>
    </rPh>
    <rPh sb="9" eb="11">
      <t>カクシュ</t>
    </rPh>
    <rPh sb="11" eb="13">
      <t>コウカイ</t>
    </rPh>
    <rPh sb="13" eb="15">
      <t>シリョウ</t>
    </rPh>
    <rPh sb="17" eb="19">
      <t>セッテイ</t>
    </rPh>
    <phoneticPr fontId="4"/>
  </si>
  <si>
    <t>費用内訳はNEDOバイオマスエネルギーの地域自立システム化実証事業におけるFS報告書をもとに設定</t>
    <rPh sb="0" eb="2">
      <t>ヒヨウ</t>
    </rPh>
    <rPh sb="2" eb="4">
      <t>ウチワケ</t>
    </rPh>
    <rPh sb="39" eb="42">
      <t>ホウコクショ</t>
    </rPh>
    <rPh sb="46" eb="48">
      <t>セッテイ</t>
    </rPh>
    <phoneticPr fontId="4"/>
  </si>
  <si>
    <t>※設備費用・運転維持費用は各バイオマス事業案件の附帯設備によって大きく変動することにご注意ください。</t>
    <phoneticPr fontId="4"/>
  </si>
  <si>
    <t>地域経済性分析ツール（入門編、メタン発酵系バイオマス）においては、バイオマス原料の受入量と受入価格を入力することで事業の経済性・地域経済波及効果が概算されるものとなっています。</t>
    <rPh sb="38" eb="40">
      <t>ゲンリョウ</t>
    </rPh>
    <rPh sb="41" eb="43">
      <t>ウケイレ</t>
    </rPh>
    <rPh sb="43" eb="44">
      <t>リョウ</t>
    </rPh>
    <rPh sb="45" eb="47">
      <t>ウケイレ</t>
    </rPh>
    <rPh sb="47" eb="49">
      <t>カカク</t>
    </rPh>
    <rPh sb="50" eb="52">
      <t>ニュウリョク</t>
    </rPh>
    <rPh sb="57" eb="59">
      <t>ジギョウ</t>
    </rPh>
    <rPh sb="60" eb="63">
      <t>ケイザイセイ</t>
    </rPh>
    <rPh sb="64" eb="66">
      <t>チイキ</t>
    </rPh>
    <rPh sb="66" eb="68">
      <t>ケイザイ</t>
    </rPh>
    <rPh sb="68" eb="70">
      <t>ハキュウ</t>
    </rPh>
    <rPh sb="70" eb="72">
      <t>コウカ</t>
    </rPh>
    <rPh sb="73" eb="75">
      <t>ガイサン</t>
    </rPh>
    <phoneticPr fontId="4"/>
  </si>
  <si>
    <t>地域経済波及効果は法人企業統計を用いた産業連鎖分析を基本として算出しております。（ここでの地域として、都道府県を想定しています）</t>
    <rPh sb="0" eb="4">
      <t>チイキケイザイ</t>
    </rPh>
    <rPh sb="4" eb="8">
      <t>ハキュウコウカ</t>
    </rPh>
    <rPh sb="9" eb="15">
      <t>ホウジンキギョウトウケイ</t>
    </rPh>
    <rPh sb="16" eb="17">
      <t>モチ</t>
    </rPh>
    <rPh sb="19" eb="21">
      <t>サンギョウ</t>
    </rPh>
    <rPh sb="21" eb="23">
      <t>レンサ</t>
    </rPh>
    <rPh sb="23" eb="25">
      <t>ブンセキ</t>
    </rPh>
    <rPh sb="26" eb="28">
      <t>キホン</t>
    </rPh>
    <rPh sb="31" eb="33">
      <t>サンシュツ</t>
    </rPh>
    <rPh sb="45" eb="47">
      <t>チイキ</t>
    </rPh>
    <rPh sb="51" eb="55">
      <t>トドウフケン</t>
    </rPh>
    <rPh sb="56" eb="58">
      <t>ソウテイ</t>
    </rPh>
    <phoneticPr fontId="4"/>
  </si>
  <si>
    <t>入門編_計算シートにおいて条件の入力と計算結果の確認を行います。</t>
    <rPh sb="0" eb="3">
      <t>ニュウモンヘン</t>
    </rPh>
    <rPh sb="4" eb="6">
      <t>ケイサン</t>
    </rPh>
    <rPh sb="13" eb="15">
      <t>ジョウケン</t>
    </rPh>
    <rPh sb="16" eb="18">
      <t>ニュウリョク</t>
    </rPh>
    <rPh sb="19" eb="23">
      <t>ケイサンケッカ</t>
    </rPh>
    <rPh sb="24" eb="26">
      <t>カクニン</t>
    </rPh>
    <rPh sb="27" eb="28">
      <t>オコナ</t>
    </rPh>
    <phoneticPr fontId="4"/>
  </si>
  <si>
    <t>総合工事業、職別工事業、設備工事業</t>
    <rPh sb="0" eb="2">
      <t>ソウゴウ</t>
    </rPh>
    <rPh sb="2" eb="5">
      <t>コウジギョウ</t>
    </rPh>
    <rPh sb="6" eb="11">
      <t>ショクベツコウジギョウ</t>
    </rPh>
    <rPh sb="12" eb="17">
      <t>セツビコウジギョウ</t>
    </rPh>
    <phoneticPr fontId="4"/>
  </si>
  <si>
    <t>非鉄金属製造業、電線・ケーブル製造業</t>
    <rPh sb="0" eb="2">
      <t>ヒテツ</t>
    </rPh>
    <rPh sb="2" eb="4">
      <t>キンゾク</t>
    </rPh>
    <rPh sb="4" eb="7">
      <t>セイゾウギョウ</t>
    </rPh>
    <phoneticPr fontId="4"/>
  </si>
  <si>
    <r>
      <rPr>
        <sz val="11"/>
        <color rgb="FF0000FF"/>
        <rFont val="ＭＳ Ｐゴシック"/>
        <family val="3"/>
        <charset val="128"/>
        <scheme val="minor"/>
      </rPr>
      <t>原料前処理機器製造業、メタン発酵槽設備製造業、</t>
    </r>
    <r>
      <rPr>
        <sz val="11"/>
        <color theme="1"/>
        <rFont val="ＭＳ Ｐゴシック"/>
        <family val="3"/>
        <charset val="128"/>
        <scheme val="minor"/>
      </rPr>
      <t>生産用機械器具製造業</t>
    </r>
    <rPh sb="17" eb="19">
      <t>セツビ</t>
    </rPh>
    <rPh sb="19" eb="22">
      <t>セイゾウギョウ</t>
    </rPh>
    <phoneticPr fontId="4"/>
  </si>
  <si>
    <t>業務用機械器具製造業、計装設備業</t>
    <rPh sb="0" eb="3">
      <t>ギョウムヨウ</t>
    </rPh>
    <rPh sb="3" eb="7">
      <t>キカイキグ</t>
    </rPh>
    <rPh sb="7" eb="10">
      <t>セイゾウギョウ</t>
    </rPh>
    <rPh sb="11" eb="13">
      <t>ケイソウ</t>
    </rPh>
    <rPh sb="13" eb="15">
      <t>セツビ</t>
    </rPh>
    <rPh sb="15" eb="16">
      <t>ギョウ</t>
    </rPh>
    <phoneticPr fontId="4"/>
  </si>
  <si>
    <t>発電用・送電用・配電用電気機械器具製造業、電気計測器製造業、その他の電気機械器具製造業、受電設備製造業</t>
    <rPh sb="44" eb="46">
      <t>ジュデン</t>
    </rPh>
    <rPh sb="46" eb="48">
      <t>セツビ</t>
    </rPh>
    <rPh sb="48" eb="51">
      <t>セイゾウギョウ</t>
    </rPh>
    <phoneticPr fontId="4"/>
  </si>
  <si>
    <t>受入供給設備製造業、燃焼設備製造業、給排水設備製造業、燃焼ガス冷却設備製造業、排ガス処理設備製造業、通風設備製造業、燃焼灰処理設備製造業、余剰熱利用設備製造業、</t>
    <rPh sb="0" eb="2">
      <t>ウケイレ</t>
    </rPh>
    <rPh sb="2" eb="4">
      <t>キョウキュウ</t>
    </rPh>
    <rPh sb="4" eb="6">
      <t>セツビ</t>
    </rPh>
    <rPh sb="6" eb="8">
      <t>セイゾウ</t>
    </rPh>
    <rPh sb="8" eb="9">
      <t>ギョウ</t>
    </rPh>
    <rPh sb="18" eb="23">
      <t>キュウハイスイセツビ</t>
    </rPh>
    <rPh sb="23" eb="25">
      <t>セイゾウ</t>
    </rPh>
    <rPh sb="25" eb="26">
      <t>ギョウ</t>
    </rPh>
    <rPh sb="27" eb="29">
      <t>ネンショウ</t>
    </rPh>
    <rPh sb="31" eb="33">
      <t>レイキャク</t>
    </rPh>
    <rPh sb="33" eb="35">
      <t>セツビ</t>
    </rPh>
    <rPh sb="35" eb="38">
      <t>セイゾウギョウ</t>
    </rPh>
    <rPh sb="39" eb="40">
      <t>ハイ</t>
    </rPh>
    <rPh sb="42" eb="44">
      <t>ショリ</t>
    </rPh>
    <rPh sb="44" eb="46">
      <t>セツビ</t>
    </rPh>
    <rPh sb="46" eb="49">
      <t>セイゾウギョウ</t>
    </rPh>
    <rPh sb="50" eb="52">
      <t>ツウフウ</t>
    </rPh>
    <rPh sb="52" eb="54">
      <t>セツビ</t>
    </rPh>
    <rPh sb="54" eb="57">
      <t>セイゾウギョウ</t>
    </rPh>
    <rPh sb="58" eb="61">
      <t>ネンショウハイ</t>
    </rPh>
    <rPh sb="61" eb="63">
      <t>ショリ</t>
    </rPh>
    <rPh sb="63" eb="65">
      <t>セツビ</t>
    </rPh>
    <rPh sb="65" eb="68">
      <t>セイゾウギョウ</t>
    </rPh>
    <rPh sb="69" eb="71">
      <t>ヨジョウ</t>
    </rPh>
    <rPh sb="71" eb="72">
      <t>ネツ</t>
    </rPh>
    <rPh sb="72" eb="74">
      <t>リヨウ</t>
    </rPh>
    <rPh sb="74" eb="76">
      <t>セツビ</t>
    </rPh>
    <rPh sb="76" eb="79">
      <t>セイゾウギョウ</t>
    </rPh>
    <phoneticPr fontId="4"/>
  </si>
  <si>
    <t>産業用運搬車両・部品・付属製品製造業、輸送用機械器具製造業</t>
    <rPh sb="0" eb="3">
      <t>サンギョウヨウ</t>
    </rPh>
    <rPh sb="3" eb="5">
      <t>ウンパン</t>
    </rPh>
    <rPh sb="5" eb="7">
      <t>シャリョウ</t>
    </rPh>
    <rPh sb="8" eb="10">
      <t>ブヒン</t>
    </rPh>
    <rPh sb="11" eb="13">
      <t>フゾク</t>
    </rPh>
    <rPh sb="13" eb="15">
      <t>セイヒン</t>
    </rPh>
    <rPh sb="15" eb="18">
      <t>セイゾウギョウ</t>
    </rPh>
    <phoneticPr fontId="4"/>
  </si>
  <si>
    <t>法律事務所、特許事務所、公証人役場、司法書士事務所、土地家屋調査士事務所、行政書士事務所、公認会計士事務所、税理士事務所、社会保険労務士事務所、経営コンサルタント業、土木建築サービス業、機械設計業、その他の専門サービス業</t>
    <phoneticPr fontId="4"/>
  </si>
  <si>
    <t>食品製造業、飲料・たばこ・飼料製造業</t>
    <rPh sb="0" eb="2">
      <t>ショクヒン</t>
    </rPh>
    <rPh sb="2" eb="5">
      <t>セイゾウギョウ</t>
    </rPh>
    <phoneticPr fontId="4"/>
  </si>
  <si>
    <t>繊維工場</t>
    <rPh sb="0" eb="2">
      <t>センイ</t>
    </rPh>
    <rPh sb="2" eb="4">
      <t>コウジョウ</t>
    </rPh>
    <phoneticPr fontId="4"/>
  </si>
  <si>
    <t>パルプ・紙・紙加工品製造業</t>
    <rPh sb="4" eb="5">
      <t>カミ</t>
    </rPh>
    <rPh sb="6" eb="7">
      <t>カミ</t>
    </rPh>
    <rPh sb="7" eb="9">
      <t>カコウ</t>
    </rPh>
    <rPh sb="9" eb="10">
      <t>ヒン</t>
    </rPh>
    <rPh sb="10" eb="12">
      <t>セイゾウ</t>
    </rPh>
    <rPh sb="12" eb="13">
      <t>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</si>
  <si>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</si>
  <si>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</si>
  <si>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</si>
  <si>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ガス業、熱供給業、水道業</t>
    <rPh sb="2" eb="3">
      <t>ギョウ</t>
    </rPh>
    <rPh sb="4" eb="5">
      <t>ネツ</t>
    </rPh>
    <rPh sb="5" eb="7">
      <t>キョウキュウ</t>
    </rPh>
    <rPh sb="7" eb="8">
      <t>ギョウ</t>
    </rPh>
    <rPh sb="9" eb="12">
      <t>スイドウギョウ</t>
    </rPh>
    <phoneticPr fontId="4"/>
  </si>
  <si>
    <t>通信業、放送業、情報サービス業、インターネット付随サービス業、映像・音声・文字情報制作業</t>
    <rPh sb="0" eb="3">
      <t>ツウシンギョウ</t>
    </rPh>
    <rPh sb="4" eb="7">
      <t>ホウソウギョウ</t>
    </rPh>
    <rPh sb="8" eb="10">
      <t>ジョウホウ</t>
    </rPh>
    <rPh sb="14" eb="15">
      <t>ギョウ</t>
    </rPh>
    <rPh sb="23" eb="25">
      <t>フズイ</t>
    </rPh>
    <rPh sb="29" eb="30">
      <t>ギョウ</t>
    </rPh>
    <rPh sb="31" eb="33">
      <t>エイゾウ</t>
    </rPh>
    <rPh sb="34" eb="36">
      <t>オンセイ</t>
    </rPh>
    <rPh sb="37" eb="39">
      <t>モジ</t>
    </rPh>
    <rPh sb="39" eb="41">
      <t>ジョウホウ</t>
    </rPh>
    <rPh sb="41" eb="43">
      <t>セイサク</t>
    </rPh>
    <rPh sb="43" eb="44">
      <t>ギョウ</t>
    </rPh>
    <phoneticPr fontId="4"/>
  </si>
  <si>
    <t>一般貨物自動車運送業、特定貨物自動車運送業、貨物軽自動車運送業、集配利用運送業、その他の道路貨物運送業</t>
    <phoneticPr fontId="4"/>
  </si>
  <si>
    <t>一般廃棄物処理業、産業廃棄物処理業、その他の廃棄物処理業、機械修理業（電気機械器具を除く）、電気機械器具修理業</t>
    <phoneticPr fontId="4"/>
  </si>
  <si>
    <t>銀行業、協同組織金融業、農林水産金融業</t>
    <rPh sb="0" eb="3">
      <t>ギンコウギョウ</t>
    </rPh>
    <rPh sb="4" eb="6">
      <t>キョウドウ</t>
    </rPh>
    <rPh sb="6" eb="8">
      <t>ソシキ</t>
    </rPh>
    <rPh sb="8" eb="10">
      <t>キンユウ</t>
    </rPh>
    <rPh sb="10" eb="11">
      <t>ギョウ</t>
    </rPh>
    <phoneticPr fontId="4"/>
  </si>
  <si>
    <t>不動産取引業、不動産賃貸業・管理業</t>
    <phoneticPr fontId="4"/>
  </si>
  <si>
    <t>経済産業省資源エネルギー庁　調達価格算定委員会「令和3年度以降の調達価格等に関する意見」のデータから設備規模ごとの平均値を使用</t>
    <rPh sb="0" eb="2">
      <t>ケイザイ</t>
    </rPh>
    <rPh sb="2" eb="5">
      <t>サンギョウショウ</t>
    </rPh>
    <rPh sb="5" eb="7">
      <t>シゲン</t>
    </rPh>
    <rPh sb="12" eb="13">
      <t>チョウ</t>
    </rPh>
    <rPh sb="14" eb="16">
      <t>チョウタツ</t>
    </rPh>
    <rPh sb="16" eb="18">
      <t>カカク</t>
    </rPh>
    <rPh sb="18" eb="20">
      <t>サンテイ</t>
    </rPh>
    <rPh sb="20" eb="23">
      <t>イインカイ</t>
    </rPh>
    <rPh sb="24" eb="26">
      <t>レイワ</t>
    </rPh>
    <rPh sb="27" eb="29">
      <t>ネンド</t>
    </rPh>
    <rPh sb="29" eb="31">
      <t>イコウ</t>
    </rPh>
    <rPh sb="32" eb="34">
      <t>チョウタツ</t>
    </rPh>
    <rPh sb="34" eb="37">
      <t>カカクナド</t>
    </rPh>
    <rPh sb="38" eb="39">
      <t>カン</t>
    </rPh>
    <rPh sb="41" eb="43">
      <t>イケン</t>
    </rPh>
    <rPh sb="50" eb="52">
      <t>セツビ</t>
    </rPh>
    <rPh sb="52" eb="54">
      <t>キボ</t>
    </rPh>
    <rPh sb="57" eb="60">
      <t>ヘイキンチ</t>
    </rPh>
    <rPh sb="61" eb="63">
      <t>シヨウ</t>
    </rPh>
    <phoneticPr fontId="4"/>
  </si>
  <si>
    <t>バイオマスエネルギーはサプライチェーンが非常に長く、他の再生可能エネルギー事業を上回る地域経済波及効果が存在します。</t>
    <rPh sb="20" eb="22">
      <t>ヒジョウ</t>
    </rPh>
    <rPh sb="23" eb="24">
      <t>ナガ</t>
    </rPh>
    <rPh sb="26" eb="27">
      <t>ホカ</t>
    </rPh>
    <rPh sb="28" eb="37">
      <t>サイセイ</t>
    </rPh>
    <rPh sb="37" eb="39">
      <t>ジギョウ</t>
    </rPh>
    <rPh sb="40" eb="42">
      <t>ウワマワ</t>
    </rPh>
    <rPh sb="43" eb="45">
      <t>チイキ</t>
    </rPh>
    <rPh sb="45" eb="47">
      <t>ケイザイ</t>
    </rPh>
    <rPh sb="47" eb="49">
      <t>ハキュウ</t>
    </rPh>
    <rPh sb="49" eb="51">
      <t>コウカ</t>
    </rPh>
    <rPh sb="52" eb="54">
      <t>ソンザイ</t>
    </rPh>
    <phoneticPr fontId="4"/>
  </si>
  <si>
    <t>本ツールでは地域内の各種関係者がバイオマスエネルギー事業によってどの程度経済効果が得られるかを定量的に可視化し、構想段階における実施体制検討に資することを目的としています。</t>
    <rPh sb="0" eb="1">
      <t>ホン</t>
    </rPh>
    <rPh sb="6" eb="8">
      <t>チイキ</t>
    </rPh>
    <rPh sb="8" eb="9">
      <t>ナイ</t>
    </rPh>
    <rPh sb="10" eb="12">
      <t>カクシュ</t>
    </rPh>
    <rPh sb="12" eb="15">
      <t>カンケイシャ</t>
    </rPh>
    <rPh sb="26" eb="28">
      <t>ジギョウ</t>
    </rPh>
    <rPh sb="34" eb="36">
      <t>テイド</t>
    </rPh>
    <rPh sb="36" eb="38">
      <t>ケイザイ</t>
    </rPh>
    <rPh sb="38" eb="40">
      <t>コウカ</t>
    </rPh>
    <rPh sb="41" eb="42">
      <t>エ</t>
    </rPh>
    <rPh sb="47" eb="50">
      <t>テイリョウテキ</t>
    </rPh>
    <rPh sb="51" eb="54">
      <t>カシカ</t>
    </rPh>
    <rPh sb="56" eb="58">
      <t>コウソウ</t>
    </rPh>
    <rPh sb="58" eb="60">
      <t>ダンカイ</t>
    </rPh>
    <rPh sb="64" eb="66">
      <t>ジッシ</t>
    </rPh>
    <rPh sb="66" eb="68">
      <t>タイセイ</t>
    </rPh>
    <rPh sb="68" eb="70">
      <t>ケントウ</t>
    </rPh>
    <rPh sb="71" eb="72">
      <t>シ</t>
    </rPh>
    <rPh sb="77" eb="79">
      <t>モクテキ</t>
    </rPh>
    <phoneticPr fontId="4"/>
  </si>
  <si>
    <t>本ツールはNEDO「バイオマスエネルギー導入に係る技術指針・導入要件」の読者を対象に、構想段階において簡易的に事業性および地域経済性を評価頂けるよう開発されたツールです。</t>
    <rPh sb="0" eb="1">
      <t>ホン</t>
    </rPh>
    <rPh sb="36" eb="38">
      <t>ドクシャ</t>
    </rPh>
    <rPh sb="39" eb="41">
      <t>タイショウ</t>
    </rPh>
    <rPh sb="43" eb="45">
      <t>コウソウ</t>
    </rPh>
    <rPh sb="45" eb="47">
      <t>ダンカイ</t>
    </rPh>
    <rPh sb="51" eb="53">
      <t>カンイ</t>
    </rPh>
    <rPh sb="53" eb="54">
      <t>テキ</t>
    </rPh>
    <rPh sb="55" eb="57">
      <t>ジギョウ</t>
    </rPh>
    <rPh sb="57" eb="58">
      <t>セイ</t>
    </rPh>
    <rPh sb="61" eb="63">
      <t>チイキ</t>
    </rPh>
    <rPh sb="63" eb="66">
      <t>ケイザイセイ</t>
    </rPh>
    <rPh sb="67" eb="69">
      <t>ヒョウカ</t>
    </rPh>
    <rPh sb="69" eb="70">
      <t>イタダ</t>
    </rPh>
    <rPh sb="74" eb="76">
      <t>カイハツ</t>
    </rPh>
    <phoneticPr fontId="4"/>
  </si>
  <si>
    <t>一方で、関係者が多い分、協力体制の構築が困難なことがあり、そうした理由で安定的な原料・燃料調達やエネルギー供給ができないケースが多々報告されています。</t>
    <rPh sb="0" eb="2">
      <t>イッポウ</t>
    </rPh>
    <rPh sb="4" eb="7">
      <t>カンケイシャ</t>
    </rPh>
    <rPh sb="8" eb="9">
      <t>オオ</t>
    </rPh>
    <rPh sb="10" eb="11">
      <t>ブン</t>
    </rPh>
    <rPh sb="12" eb="14">
      <t>キョウリョク</t>
    </rPh>
    <rPh sb="14" eb="16">
      <t>タイセイ</t>
    </rPh>
    <rPh sb="17" eb="19">
      <t>コウチク</t>
    </rPh>
    <rPh sb="20" eb="22">
      <t>コンナン</t>
    </rPh>
    <rPh sb="33" eb="35">
      <t>リユウ</t>
    </rPh>
    <rPh sb="36" eb="39">
      <t>アンテイテキ</t>
    </rPh>
    <rPh sb="40" eb="42">
      <t>ゲンリョウ</t>
    </rPh>
    <rPh sb="43" eb="45">
      <t>ネンリョウ</t>
    </rPh>
    <rPh sb="45" eb="47">
      <t>チョウタツ</t>
    </rPh>
    <rPh sb="53" eb="55">
      <t>キョウキュウ</t>
    </rPh>
    <rPh sb="64" eb="66">
      <t>タタ</t>
    </rPh>
    <rPh sb="66" eb="68">
      <t>ホウコク</t>
    </rPh>
    <phoneticPr fontId="4"/>
  </si>
  <si>
    <t>のセル：想定値の入力が必須</t>
    <rPh sb="4" eb="6">
      <t>ソウテイ</t>
    </rPh>
    <rPh sb="6" eb="7">
      <t>アタイ</t>
    </rPh>
    <rPh sb="8" eb="10">
      <t>ニュウリョク</t>
    </rPh>
    <rPh sb="11" eb="13">
      <t>ヒッス</t>
    </rPh>
    <phoneticPr fontId="4"/>
  </si>
  <si>
    <t>のセル：想定値を任意で入力</t>
    <rPh sb="4" eb="6">
      <t>ソウテ</t>
    </rPh>
    <rPh sb="6" eb="7">
      <t>チ</t>
    </rPh>
    <rPh sb="8" eb="10">
      <t>ニンイ</t>
    </rPh>
    <rPh sb="11" eb="13">
      <t>ニュウリョク</t>
    </rPh>
    <phoneticPr fontId="4"/>
  </si>
  <si>
    <r>
      <t>のセル：自動算出されますが、事業の検討状況に応じて直接入力（</t>
    </r>
    <r>
      <rPr>
        <b/>
        <sz val="11"/>
        <color rgb="FFFF0000"/>
        <rFont val="ＭＳ Ｐゴシック"/>
        <family val="3"/>
        <charset val="128"/>
        <scheme val="minor"/>
      </rPr>
      <t>その際、オリジナルの関数は解除されます</t>
    </r>
    <r>
      <rPr>
        <sz val="11"/>
        <color theme="1"/>
        <rFont val="ＭＳ Ｐゴシック"/>
        <family val="3"/>
        <charset val="128"/>
        <scheme val="minor"/>
      </rPr>
      <t>）</t>
    </r>
    <rPh sb="4" eb="8">
      <t>ジドウサンシュツ</t>
    </rPh>
    <rPh sb="14" eb="16">
      <t>ジギョウ</t>
    </rPh>
    <rPh sb="17" eb="19">
      <t>ケントウ</t>
    </rPh>
    <rPh sb="19" eb="21">
      <t>ジョウキョウ</t>
    </rPh>
    <rPh sb="22" eb="23">
      <t>オウ</t>
    </rPh>
    <rPh sb="25" eb="29">
      <t>チョクセツニュウリョク</t>
    </rPh>
    <rPh sb="32" eb="33">
      <t>サイ</t>
    </rPh>
    <rPh sb="40" eb="42">
      <t>カンスウ</t>
    </rPh>
    <rPh sb="43" eb="45">
      <t>カイジョ</t>
    </rPh>
    <phoneticPr fontId="4"/>
  </si>
  <si>
    <t>※乾式メタン発酵モデルについては事例が限られており、対応しておりません。「バイオマスエネルギー地域自立システムの導入要件・技術指針」第１部４章を参考に地域経済分析ツール（詳細編）にてシートを作成ください。</t>
    <rPh sb="1" eb="3">
      <t>カンシキ</t>
    </rPh>
    <rPh sb="6" eb="8">
      <t>ハッコウ</t>
    </rPh>
    <rPh sb="16" eb="18">
      <t>ジレイ</t>
    </rPh>
    <rPh sb="19" eb="20">
      <t>カギ</t>
    </rPh>
    <rPh sb="26" eb="28">
      <t>タイオウ</t>
    </rPh>
    <rPh sb="66" eb="67">
      <t>ダイ</t>
    </rPh>
    <rPh sb="68" eb="69">
      <t>ブ</t>
    </rPh>
    <rPh sb="70" eb="71">
      <t>ショウ</t>
    </rPh>
    <rPh sb="72" eb="74">
      <t>サンコウ</t>
    </rPh>
    <rPh sb="75" eb="79">
      <t>チイキケイザイ</t>
    </rPh>
    <rPh sb="79" eb="81">
      <t>ブンセキ</t>
    </rPh>
    <rPh sb="85" eb="87">
      <t>ショウサイ</t>
    </rPh>
    <rPh sb="87" eb="88">
      <t>ヘン</t>
    </rPh>
    <rPh sb="95" eb="97">
      <t>サクセイ</t>
    </rPh>
    <phoneticPr fontId="4"/>
  </si>
  <si>
    <r>
      <t>IRR</t>
    </r>
    <r>
      <rPr>
        <sz val="10"/>
        <color theme="0" tint="-0.34998626667073579"/>
        <rFont val="ＭＳ Ｐゴシック"/>
        <family val="3"/>
        <charset val="128"/>
      </rPr>
      <t>（</t>
    </r>
    <r>
      <rPr>
        <sz val="10"/>
        <color theme="0" tint="-0.34998626667073579"/>
        <rFont val="Arial"/>
        <family val="2"/>
      </rPr>
      <t>20</t>
    </r>
    <r>
      <rPr>
        <sz val="10"/>
        <color theme="0" tint="-0.34998626667073579"/>
        <rFont val="ＭＳ Ｐゴシック"/>
        <family val="3"/>
        <charset val="128"/>
      </rPr>
      <t>年）</t>
    </r>
    <rPh sb="6" eb="7">
      <t>ネン</t>
    </rPh>
    <phoneticPr fontId="4"/>
  </si>
  <si>
    <r>
      <rPr>
        <sz val="10"/>
        <color theme="0" tint="-0.34998626667073579"/>
        <rFont val="ＭＳ Ｐゴシック"/>
        <family val="3"/>
        <charset val="128"/>
      </rPr>
      <t>円</t>
    </r>
    <r>
      <rPr>
        <sz val="10"/>
        <color theme="0" tint="-0.34998626667073579"/>
        <rFont val="Arial"/>
        <family val="2"/>
      </rPr>
      <t>/kWh</t>
    </r>
    <rPh sb="0" eb="1">
      <t>エン</t>
    </rPh>
    <phoneticPr fontId="4"/>
  </si>
  <si>
    <r>
      <rPr>
        <sz val="10"/>
        <color theme="0" tint="-0.34998626667073579"/>
        <rFont val="ＭＳ Ｐゴシック"/>
        <family val="3"/>
        <charset val="128"/>
      </rPr>
      <t>円</t>
    </r>
    <r>
      <rPr>
        <sz val="10"/>
        <color theme="0" tint="-0.34998626667073579"/>
        <rFont val="Arial"/>
        <family val="2"/>
      </rPr>
      <t>/MJ</t>
    </r>
    <rPh sb="0" eb="1">
      <t>エン</t>
    </rPh>
    <phoneticPr fontId="4"/>
  </si>
  <si>
    <t>STEP１：廃棄物情報の入力と概算結果の出力</t>
    <rPh sb="6" eb="9">
      <t>ハイキブツ</t>
    </rPh>
    <rPh sb="9" eb="11">
      <t>ジョウホウ</t>
    </rPh>
    <rPh sb="12" eb="14">
      <t>ニュウリョク</t>
    </rPh>
    <rPh sb="15" eb="17">
      <t>ガイサン</t>
    </rPh>
    <rPh sb="17" eb="19">
      <t>ケッカ</t>
    </rPh>
    <rPh sb="20" eb="22">
      <t>シュツリョク</t>
    </rPh>
    <phoneticPr fontId="4"/>
  </si>
  <si>
    <t>変更不可</t>
    <rPh sb="0" eb="4">
      <t>ヘンコウフカ</t>
    </rPh>
    <phoneticPr fontId="4"/>
  </si>
  <si>
    <t>金利</t>
    <rPh sb="0" eb="2">
      <t>キンリ</t>
    </rPh>
    <phoneticPr fontId="4"/>
  </si>
  <si>
    <t>廃棄物受入収入</t>
    <rPh sb="0" eb="3">
      <t>ハイキブツ</t>
    </rPh>
    <rPh sb="3" eb="5">
      <t>ウケイ</t>
    </rPh>
    <rPh sb="5" eb="7">
      <t>シュウニュウ</t>
    </rPh>
    <phoneticPr fontId="5"/>
  </si>
  <si>
    <t>その他収入</t>
    <rPh sb="3" eb="5">
      <t>シュウニュウ</t>
    </rPh>
    <phoneticPr fontId="4"/>
  </si>
  <si>
    <t>その他収入</t>
    <rPh sb="2" eb="3">
      <t>タ</t>
    </rPh>
    <rPh sb="3" eb="5">
      <t>シュウニュウ</t>
    </rPh>
    <phoneticPr fontId="4"/>
  </si>
  <si>
    <t>消化液を個液分離した個体分（固液分離機が必要）</t>
  </si>
  <si>
    <t>廃棄物として処理委託する場合は別途水処理費用が発生する</t>
    <rPh sb="0" eb="3">
      <t>ハイキブツ</t>
    </rPh>
    <rPh sb="6" eb="8">
      <t>ショリ</t>
    </rPh>
    <rPh sb="8" eb="10">
      <t>イタク</t>
    </rPh>
    <rPh sb="12" eb="14">
      <t>バアイ</t>
    </rPh>
    <rPh sb="15" eb="17">
      <t>ベット</t>
    </rPh>
    <rPh sb="17" eb="20">
      <t>ミズショリ</t>
    </rPh>
    <rPh sb="20" eb="22">
      <t>ヒヨウ</t>
    </rPh>
    <rPh sb="23" eb="25">
      <t>ハッセイ</t>
    </rPh>
    <phoneticPr fontId="4"/>
  </si>
  <si>
    <t>○地域内経済効果の推移(累積）</t>
    <rPh sb="1" eb="3">
      <t>チイキ</t>
    </rPh>
    <rPh sb="3" eb="4">
      <t>ナイ</t>
    </rPh>
    <rPh sb="4" eb="6">
      <t>ケイザイ</t>
    </rPh>
    <rPh sb="6" eb="8">
      <t>コウカ</t>
    </rPh>
    <rPh sb="9" eb="11">
      <t>スイイ</t>
    </rPh>
    <rPh sb="12" eb="14">
      <t>ルイセキ</t>
    </rPh>
    <phoneticPr fontId="5"/>
  </si>
  <si>
    <t>NEDOでは「バイオマスエネルギー導入に係る技術指針・導入要件」の読者を対象に、構想段階において簡易的に事業性および地域経済性を評価頂けるよう開発した「事業性・地域経済性評価ツール」を公開しています。</t>
    <phoneticPr fontId="4"/>
  </si>
  <si>
    <t>事業の検討状況によって「入門編」と「詳細編（本Excelファイル）」がございますので、はじめてバイオマス事業の検討を開始する方は「入門編」、ある程度の事業計画が定まってきた方は「詳細編」をご利用ください。</t>
    <phoneticPr fontId="4"/>
  </si>
  <si>
    <t>＜注意事項＞</t>
    <phoneticPr fontId="4"/>
  </si>
  <si>
    <t>•本ツールの内容の全部又は一部については、私的使用又は引用等著作権法上認められた行為として、適宜の方法により出所を明示することにより、引用・転載複製を行うことが出来ます。</t>
    <phoneticPr fontId="4"/>
  </si>
  <si>
    <t xml:space="preserve"> ただし、NEDO以外の出典元が明記されている場合は、それぞれの著作権者が定める条件に従ってご利用下さい。</t>
    <phoneticPr fontId="4"/>
  </si>
  <si>
    <t>•本ツールを利用して得られた結果について公表する際は、NEDOに報告の上、本ツールを利用したことを明記下さい。</t>
  </si>
  <si>
    <t xml:space="preserve"> また、利用者の利用目的に適合しているとは限りませんので、利用者は自らの責任でご自身の利用目的に適合しているかどうかをご判断ください。</t>
    <phoneticPr fontId="4"/>
  </si>
  <si>
    <t>•本サイトに掲載されている著作物を商業目的で複製する場合は、予めNEDOお問い合せ宛にご連絡下さい。商業目的で複製とは、直接収益を得ることを目的にプログラム著作物を複製して販売すること等を指します。</t>
  </si>
  <si>
    <t>•本ツールの全部又は一部について、NEDOに無断で改変を行うことはできません。</t>
  </si>
  <si>
    <t>•本ツールの情報の利用目的及び利用方法については、利用者の判断と責任に委ねられており、NEDOは一切関与いたしません。</t>
    <phoneticPr fontId="4"/>
  </si>
  <si>
    <t xml:space="preserve"> 事由の如何を問わず、これらを利用することにより生じた利用者又は第三者の損害については、利用者がその全ての責任を負うものとし、NEDOは一切の責任を負いません。</t>
    <phoneticPr fontId="4"/>
  </si>
  <si>
    <t>•本ツールの情報として得られる要素については、事業者の責において最新情報の確認を行うとともに、必要に応じて関係機関への照会、調整をお願いします。</t>
  </si>
  <si>
    <t>•また、本サイトは、予告なしに内容及びURLの変更、削除を行う場合がありますが、予めご了承下さい。</t>
  </si>
  <si>
    <t>https://www.nedo.go.jp/qinf/copyright.htmlからhttps://www.nedo.go.jp/library/biomass_shishin.html</t>
  </si>
  <si>
    <t>産業連鎖分析については「バイオマスエネルギー地域自立システムの導入要件・技術指針 第5版　実践編（木質系バイオマス）」の第１部４章4.2項を参照ください。</t>
    <rPh sb="0" eb="2">
      <t>サンギョウ</t>
    </rPh>
    <rPh sb="2" eb="4">
      <t>レンサ</t>
    </rPh>
    <rPh sb="4" eb="6">
      <t>ブンセキ</t>
    </rPh>
    <rPh sb="22" eb="24">
      <t>チイキ</t>
    </rPh>
    <rPh sb="31" eb="33">
      <t>ドウニュウ</t>
    </rPh>
    <rPh sb="33" eb="35">
      <t>ヨウケン</t>
    </rPh>
    <rPh sb="36" eb="38">
      <t>ギジュツ</t>
    </rPh>
    <rPh sb="38" eb="40">
      <t>シシン</t>
    </rPh>
    <rPh sb="41" eb="42">
      <t>ダイ</t>
    </rPh>
    <rPh sb="43" eb="44">
      <t>ハン</t>
    </rPh>
    <rPh sb="45" eb="48">
      <t>ジッセンヘン</t>
    </rPh>
    <rPh sb="49" eb="51">
      <t>モクシツ</t>
    </rPh>
    <rPh sb="51" eb="52">
      <t>ケイ</t>
    </rPh>
    <rPh sb="60" eb="61">
      <t>ダイ</t>
    </rPh>
    <rPh sb="62" eb="63">
      <t>ブ</t>
    </rPh>
    <rPh sb="64" eb="65">
      <t>ショウ</t>
    </rPh>
    <rPh sb="68" eb="69">
      <t>コウ</t>
    </rPh>
    <rPh sb="70" eb="72">
      <t>サンショウ</t>
    </rPh>
    <phoneticPr fontId="4"/>
  </si>
  <si>
    <t>○単年度収支（20年間合計値を平均）</t>
    <rPh sb="1" eb="4">
      <t>タンネンド</t>
    </rPh>
    <rPh sb="4" eb="6">
      <t>シュウシ</t>
    </rPh>
    <rPh sb="9" eb="11">
      <t>ネンカン</t>
    </rPh>
    <rPh sb="11" eb="14">
      <t>ゴウケイチ</t>
    </rPh>
    <rPh sb="15" eb="17">
      <t>ヘイキン</t>
    </rPh>
    <phoneticPr fontId="5"/>
  </si>
  <si>
    <t>○20年間のキャッシュフロー</t>
    <rPh sb="3" eb="4">
      <t>ネン</t>
    </rPh>
    <rPh sb="4" eb="5">
      <t>ケン</t>
    </rPh>
    <phoneticPr fontId="5"/>
  </si>
  <si>
    <t>初期投資支出－累計収益</t>
    <rPh sb="0" eb="4">
      <t>ショキトウシ</t>
    </rPh>
    <rPh sb="4" eb="6">
      <t>シシュツ</t>
    </rPh>
    <rPh sb="7" eb="9">
      <t>ルイケイ</t>
    </rPh>
    <rPh sb="9" eb="11">
      <t>シュウエキ</t>
    </rPh>
    <phoneticPr fontId="4"/>
  </si>
  <si>
    <t>②建設関連の
地域内事業者利益</t>
    <rPh sb="1" eb="3">
      <t>ケンセツ</t>
    </rPh>
    <rPh sb="3" eb="5">
      <t>カンレン</t>
    </rPh>
    <rPh sb="7" eb="10">
      <t>チイキナイ</t>
    </rPh>
    <rPh sb="10" eb="13">
      <t>ジギョウシャ</t>
    </rPh>
    <rPh sb="13" eb="15">
      <t>リエキ</t>
    </rPh>
    <phoneticPr fontId="4"/>
  </si>
  <si>
    <t>①バイオマス事業利益
の地域内配当分</t>
    <rPh sb="14" eb="15">
      <t>ナイ</t>
    </rPh>
    <rPh sb="17" eb="18">
      <t>ブン</t>
    </rPh>
    <phoneticPr fontId="4"/>
  </si>
  <si>
    <t>③運転・維持関連の
地域内事業者利益</t>
    <rPh sb="1" eb="3">
      <t>ウンテン</t>
    </rPh>
    <rPh sb="4" eb="6">
      <t>イジ</t>
    </rPh>
    <rPh sb="6" eb="8">
      <t>カンレン</t>
    </rPh>
    <rPh sb="10" eb="12">
      <t>チイキ</t>
    </rPh>
    <rPh sb="12" eb="13">
      <t>ナイ</t>
    </rPh>
    <rPh sb="13" eb="16">
      <t>ジギョウシャ</t>
    </rPh>
    <rPh sb="16" eb="18">
      <t>リエキ</t>
    </rPh>
    <phoneticPr fontId="4"/>
  </si>
  <si>
    <t>④雇用効果
（従業員可処分所得）</t>
    <rPh sb="1" eb="3">
      <t>コヨウ</t>
    </rPh>
    <rPh sb="3" eb="5">
      <t>コウカ</t>
    </rPh>
    <rPh sb="7" eb="10">
      <t>ジュウギョウイン</t>
    </rPh>
    <rPh sb="10" eb="15">
      <t>カショブンショトク</t>
    </rPh>
    <phoneticPr fontId="4"/>
  </si>
  <si>
    <t>⑥地域内金融機関
利息収入</t>
    <rPh sb="1" eb="4">
      <t>チイキナイ</t>
    </rPh>
    <rPh sb="4" eb="8">
      <t>キンユウキカン</t>
    </rPh>
    <rPh sb="9" eb="11">
      <t>リソク</t>
    </rPh>
    <rPh sb="11" eb="13">
      <t>シュウニュウ</t>
    </rPh>
    <phoneticPr fontId="4"/>
  </si>
  <si>
    <t>⑦バイオマス処理委託費用低減効果
(廃棄物委託元の経済効果）</t>
    <rPh sb="18" eb="21">
      <t>ハイキブツ</t>
    </rPh>
    <rPh sb="21" eb="23">
      <t>イタク</t>
    </rPh>
    <rPh sb="23" eb="24">
      <t>モト</t>
    </rPh>
    <rPh sb="25" eb="29">
      <t>ケイザイコウカ</t>
    </rPh>
    <phoneticPr fontId="4"/>
  </si>
  <si>
    <t>⑧需要家のエネルギー
費用削減効果</t>
    <rPh sb="1" eb="4">
      <t>ジュヨウカ</t>
    </rPh>
    <rPh sb="11" eb="13">
      <t>ヒヨウ</t>
    </rPh>
    <rPh sb="13" eb="15">
      <t>サクゲン</t>
    </rPh>
    <rPh sb="15" eb="17">
      <t>コウカ</t>
    </rPh>
    <phoneticPr fontId="4"/>
  </si>
  <si>
    <t>初期投資支出－地域内経済効果
を踏まえた累積収支</t>
    <rPh sb="0" eb="2">
      <t>ショキ</t>
    </rPh>
    <rPh sb="2" eb="4">
      <t>トウシ</t>
    </rPh>
    <rPh sb="4" eb="6">
      <t>シシュツ</t>
    </rPh>
    <rPh sb="7" eb="9">
      <t>チイキ</t>
    </rPh>
    <rPh sb="9" eb="10">
      <t>ナイ</t>
    </rPh>
    <rPh sb="10" eb="14">
      <t>ケイザイコウカ</t>
    </rPh>
    <rPh sb="16" eb="17">
      <t>フ</t>
    </rPh>
    <rPh sb="20" eb="22">
      <t>ルイセキ</t>
    </rPh>
    <rPh sb="22" eb="24">
      <t>シュウシ</t>
    </rPh>
    <phoneticPr fontId="4"/>
  </si>
  <si>
    <t>　バイオガス発生量</t>
    <rPh sb="6" eb="9">
      <t>ハッセイリョウ</t>
    </rPh>
    <phoneticPr fontId="4"/>
  </si>
  <si>
    <t>熱量ベースで記載</t>
    <rPh sb="0" eb="2">
      <t>ネツリョウ</t>
    </rPh>
    <rPh sb="6" eb="8">
      <t>キサイ</t>
    </rPh>
    <phoneticPr fontId="4"/>
  </si>
  <si>
    <t>y=362.16e^-7E-04x</t>
    <phoneticPr fontId="4"/>
  </si>
  <si>
    <t>R2=0.2499</t>
    <phoneticPr fontId="4"/>
  </si>
  <si>
    <t>消化液を個液分離した液体分（固液分離機が必要）</t>
    <rPh sb="10" eb="12">
      <t>エキタイ</t>
    </rPh>
    <phoneticPr fontId="4"/>
  </si>
  <si>
    <t>y=57.12e^-0.001272x</t>
    <phoneticPr fontId="4"/>
  </si>
  <si>
    <t>R2=0.734627</t>
    <phoneticPr fontId="4"/>
  </si>
  <si>
    <t>円/ｔ</t>
    <rPh sb="0" eb="1">
      <t>エン</t>
    </rPh>
    <phoneticPr fontId="4"/>
  </si>
  <si>
    <t>円/単位</t>
    <rPh sb="0" eb="1">
      <t>エン</t>
    </rPh>
    <rPh sb="2" eb="4">
      <t>タンイ</t>
    </rPh>
    <phoneticPr fontId="4"/>
  </si>
  <si>
    <t>＜入力セルについて＞</t>
    <rPh sb="1" eb="3">
      <t>ニュウリョク</t>
    </rPh>
    <phoneticPr fontId="4"/>
  </si>
  <si>
    <t>のセル：自動算出されますが、事業の検討状況に応じて直接入力</t>
    <rPh sb="4" eb="8">
      <t>ジドウサンシュツ</t>
    </rPh>
    <rPh sb="14" eb="16">
      <t>ジギョウ</t>
    </rPh>
    <rPh sb="17" eb="19">
      <t>ケントウ</t>
    </rPh>
    <rPh sb="19" eb="21">
      <t>ジョウキョウ</t>
    </rPh>
    <rPh sb="22" eb="23">
      <t>オウ</t>
    </rPh>
    <rPh sb="25" eb="29">
      <t>チョクセツニュウリョク</t>
    </rPh>
    <phoneticPr fontId="4"/>
  </si>
  <si>
    <t>（その際、オリジナルの関数は解除されます）</t>
  </si>
  <si>
    <t>＜デフォルト値について＞</t>
    <rPh sb="6" eb="7">
      <t>チ</t>
    </rPh>
    <phoneticPr fontId="4"/>
  </si>
  <si>
    <t>○売電価格は非FITでの売電を想定しています（C36セルを変更ください）</t>
    <rPh sb="1" eb="3">
      <t>バイデン</t>
    </rPh>
    <rPh sb="3" eb="5">
      <t>カカク</t>
    </rPh>
    <rPh sb="6" eb="7">
      <t>ヒ</t>
    </rPh>
    <rPh sb="12" eb="14">
      <t>バイデン</t>
    </rPh>
    <rPh sb="15" eb="17">
      <t>ソウテイ</t>
    </rPh>
    <rPh sb="29" eb="31">
      <t>ヘンコウ</t>
    </rPh>
    <phoneticPr fontId="4"/>
  </si>
  <si>
    <t>Point　副生物の利用・処理の検討</t>
    <rPh sb="6" eb="9">
      <t>フクセイブツ</t>
    </rPh>
    <rPh sb="10" eb="12">
      <t>リヨウ</t>
    </rPh>
    <rPh sb="13" eb="15">
      <t>ショリ</t>
    </rPh>
    <rPh sb="16" eb="18">
      <t>ケントウ</t>
    </rPh>
    <phoneticPr fontId="4"/>
  </si>
  <si>
    <t xml:space="preserve"> ①バイオマス事業者（地域内配当）</t>
    <rPh sb="7" eb="10">
      <t>ジギョウシャ</t>
    </rPh>
    <rPh sb="11" eb="14">
      <t>チイキナイ</t>
    </rPh>
    <rPh sb="14" eb="16">
      <t>ハイトウ</t>
    </rPh>
    <phoneticPr fontId="4"/>
  </si>
  <si>
    <t>　　STEP2までの事業利益に地域内スポンサーの出資比率を乗算したもの。バイオマス事業の実施にあたり地域外のスポンサーからの出資が多い場合、</t>
    <rPh sb="10" eb="12">
      <t>ジギョウ</t>
    </rPh>
    <rPh sb="12" eb="14">
      <t>リエキ</t>
    </rPh>
    <rPh sb="15" eb="18">
      <t>チイキナイ</t>
    </rPh>
    <rPh sb="24" eb="28">
      <t>シュッシヒリツ</t>
    </rPh>
    <rPh sb="29" eb="31">
      <t>ジョウサン</t>
    </rPh>
    <rPh sb="41" eb="43">
      <t>ジギョウ</t>
    </rPh>
    <rPh sb="44" eb="46">
      <t>ジッシ</t>
    </rPh>
    <rPh sb="50" eb="53">
      <t>チイキガイ</t>
    </rPh>
    <rPh sb="62" eb="64">
      <t>シュッシ</t>
    </rPh>
    <rPh sb="65" eb="66">
      <t>オオ</t>
    </rPh>
    <rPh sb="67" eb="69">
      <t>バアイ</t>
    </rPh>
    <phoneticPr fontId="4"/>
  </si>
  <si>
    <t xml:space="preserve">    事業利益が地域内の収益とならない場合がある。</t>
    <phoneticPr fontId="5"/>
  </si>
  <si>
    <t xml:space="preserve"> ②建設関連事業者の事業利益</t>
    <rPh sb="2" eb="4">
      <t>ケンセツ</t>
    </rPh>
    <rPh sb="4" eb="6">
      <t>カンレン</t>
    </rPh>
    <rPh sb="6" eb="9">
      <t>ジギョウシャ</t>
    </rPh>
    <rPh sb="10" eb="14">
      <t>ジギョウリエキ</t>
    </rPh>
    <phoneticPr fontId="4"/>
  </si>
  <si>
    <t>　　通常、海外製設備の場合は地域経済効果に繋がりにくい。工事費用などを地域事業者に委託によって経済効果の増大に寄与できる可能性がある。</t>
    <rPh sb="2" eb="4">
      <t>ツウジョウ</t>
    </rPh>
    <rPh sb="5" eb="7">
      <t>カイガイ</t>
    </rPh>
    <rPh sb="7" eb="8">
      <t>セイ</t>
    </rPh>
    <rPh sb="8" eb="10">
      <t>セツビ</t>
    </rPh>
    <rPh sb="11" eb="13">
      <t>バアイ</t>
    </rPh>
    <rPh sb="60" eb="63">
      <t>カノウセイ</t>
    </rPh>
    <phoneticPr fontId="4"/>
  </si>
  <si>
    <t xml:space="preserve"> ③運転・維持事業者利益</t>
    <rPh sb="2" eb="4">
      <t>ウンテン</t>
    </rPh>
    <rPh sb="5" eb="7">
      <t>イジ</t>
    </rPh>
    <rPh sb="7" eb="10">
      <t>ジギョウシャ</t>
    </rPh>
    <rPh sb="10" eb="12">
      <t>リエキ</t>
    </rPh>
    <phoneticPr fontId="4"/>
  </si>
  <si>
    <t>　　地域外のメーカーの設備を導入する場合、可能な限り運転管理を地域内事業者で内制化できることが経済効果を高めるうえで望ましい。</t>
    <rPh sb="2" eb="4">
      <t>チイキ</t>
    </rPh>
    <rPh sb="4" eb="5">
      <t>ガイ</t>
    </rPh>
    <rPh sb="11" eb="13">
      <t>セツビ</t>
    </rPh>
    <rPh sb="14" eb="16">
      <t>ドウニュウ</t>
    </rPh>
    <rPh sb="18" eb="20">
      <t>バアイ</t>
    </rPh>
    <rPh sb="21" eb="23">
      <t>カノウ</t>
    </rPh>
    <rPh sb="24" eb="25">
      <t>カギ</t>
    </rPh>
    <rPh sb="26" eb="28">
      <t>ウンテン</t>
    </rPh>
    <rPh sb="28" eb="30">
      <t>カンリ</t>
    </rPh>
    <rPh sb="31" eb="34">
      <t>チイキナイ</t>
    </rPh>
    <rPh sb="34" eb="37">
      <t>ジギョウシャ</t>
    </rPh>
    <rPh sb="38" eb="40">
      <t>ナイセイ</t>
    </rPh>
    <rPh sb="40" eb="41">
      <t>カ</t>
    </rPh>
    <rPh sb="58" eb="59">
      <t>ノゾ</t>
    </rPh>
    <phoneticPr fontId="4"/>
  </si>
  <si>
    <t xml:space="preserve"> ④雇用効果（可処分所得）</t>
    <rPh sb="2" eb="4">
      <t>コヨウ</t>
    </rPh>
    <rPh sb="4" eb="6">
      <t>コウカ</t>
    </rPh>
    <rPh sb="7" eb="12">
      <t>カショブンショトク</t>
    </rPh>
    <phoneticPr fontId="4"/>
  </si>
  <si>
    <t xml:space="preserve"> ⑤地方税</t>
    <rPh sb="2" eb="5">
      <t>チホウゼイ</t>
    </rPh>
    <phoneticPr fontId="4"/>
  </si>
  <si>
    <t>　　この収入見込みから助成金を設定し、バイオマス事業の促進を検討することも可能である。</t>
    <rPh sb="37" eb="39">
      <t>カノウ</t>
    </rPh>
    <phoneticPr fontId="4"/>
  </si>
  <si>
    <t xml:space="preserve"> ⑥金融機関利息収入</t>
    <rPh sb="2" eb="6">
      <t>キンユウキカン</t>
    </rPh>
    <rPh sb="6" eb="8">
      <t>リソク</t>
    </rPh>
    <rPh sb="8" eb="10">
      <t>シュウニュウ</t>
    </rPh>
    <phoneticPr fontId="4"/>
  </si>
  <si>
    <t xml:space="preserve"> ⑦バイオマス原料提供者経済効果</t>
    <rPh sb="7" eb="9">
      <t>ゲンリョウ</t>
    </rPh>
    <rPh sb="9" eb="11">
      <t>テイキョウ</t>
    </rPh>
    <rPh sb="11" eb="12">
      <t>シャ</t>
    </rPh>
    <rPh sb="12" eb="16">
      <t>ケイザイコウカ</t>
    </rPh>
    <phoneticPr fontId="4"/>
  </si>
  <si>
    <t>　　事業開始前に同原料が廃棄物処理として廃棄されていた場合、処理委託費用の削減効果も得られる可能性がある。</t>
    <rPh sb="2" eb="6">
      <t>ジギョウカイシ</t>
    </rPh>
    <rPh sb="6" eb="7">
      <t>マエ</t>
    </rPh>
    <rPh sb="8" eb="11">
      <t>ドウゲンリョウ</t>
    </rPh>
    <rPh sb="12" eb="15">
      <t>ハイキブツ</t>
    </rPh>
    <rPh sb="15" eb="17">
      <t>ショリ</t>
    </rPh>
    <rPh sb="20" eb="22">
      <t>ハイキ</t>
    </rPh>
    <rPh sb="27" eb="29">
      <t>バアイ</t>
    </rPh>
    <rPh sb="30" eb="32">
      <t>ショリ</t>
    </rPh>
    <rPh sb="32" eb="34">
      <t>イタク</t>
    </rPh>
    <rPh sb="34" eb="36">
      <t>ヒヨウ</t>
    </rPh>
    <rPh sb="37" eb="39">
      <t>サクゲン</t>
    </rPh>
    <rPh sb="39" eb="41">
      <t>コウカ</t>
    </rPh>
    <rPh sb="42" eb="43">
      <t>エ</t>
    </rPh>
    <rPh sb="46" eb="49">
      <t>カノウセイ</t>
    </rPh>
    <phoneticPr fontId="4"/>
  </si>
  <si>
    <t>　　地域のバイオマス利活用の社会的意義や環境価値を考慮し、排出者が従来価格よりも高値で処理委託する例も存在する。</t>
    <rPh sb="29" eb="32">
      <t>ハイシュツシャ</t>
    </rPh>
    <phoneticPr fontId="4"/>
  </si>
  <si>
    <t xml:space="preserve"> ⑧エネルギー費用削減効果</t>
    <rPh sb="7" eb="11">
      <t>ヒヨウサクゲン</t>
    </rPh>
    <rPh sb="11" eb="13">
      <t>コウカ</t>
    </rPh>
    <phoneticPr fontId="4"/>
  </si>
  <si>
    <t>　　熱供給事業の場合、バイオマス熱の販売価格を従来の化石燃料価格と同額とするケースも多いが、環境価値や地域貢献の価値を上乗せする例もある。</t>
    <phoneticPr fontId="4"/>
  </si>
  <si>
    <t>○助成金は考慮していません。(K51セル）</t>
    <rPh sb="1" eb="4">
      <t>ジョセイキン</t>
    </rPh>
    <rPh sb="5" eb="7">
      <t>コウリョ</t>
    </rPh>
    <phoneticPr fontId="4"/>
  </si>
  <si>
    <r>
      <rPr>
        <sz val="11"/>
        <color theme="1"/>
        <rFont val="ＭＳ Ｐゴシック"/>
        <family val="3"/>
        <charset val="128"/>
      </rPr>
      <t>　</t>
    </r>
    <r>
      <rPr>
        <sz val="11"/>
        <color theme="1"/>
        <rFont val="Arial"/>
        <family val="2"/>
      </rPr>
      <t>FS</t>
    </r>
    <r>
      <rPr>
        <sz val="11"/>
        <color theme="1"/>
        <rFont val="ＭＳ Ｐゴシック"/>
        <family val="3"/>
        <charset val="128"/>
      </rPr>
      <t>事業情報等から運転維持費用</t>
    </r>
    <r>
      <rPr>
        <sz val="11"/>
        <color theme="1"/>
        <rFont val="Arial"/>
        <family val="2"/>
      </rPr>
      <t>15</t>
    </r>
    <r>
      <rPr>
        <sz val="11"/>
        <color theme="1"/>
        <rFont val="ＭＳ Ｐゴシック"/>
        <family val="3"/>
        <charset val="128"/>
      </rPr>
      <t>％と想定し、下限値を</t>
    </r>
    <r>
      <rPr>
        <sz val="11"/>
        <color theme="1"/>
        <rFont val="Arial"/>
        <family val="2"/>
      </rPr>
      <t>400</t>
    </r>
    <r>
      <rPr>
        <sz val="11"/>
        <color theme="1"/>
        <rFont val="ＭＳ Ｐゴシック"/>
        <family val="3"/>
        <charset val="128"/>
      </rPr>
      <t>万円に設定</t>
    </r>
    <rPh sb="3" eb="5">
      <t>ジギョウ</t>
    </rPh>
    <rPh sb="5" eb="7">
      <t>ジョウホウ</t>
    </rPh>
    <rPh sb="7" eb="8">
      <t>トウ</t>
    </rPh>
    <rPh sb="10" eb="12">
      <t>ウンテン</t>
    </rPh>
    <rPh sb="12" eb="14">
      <t>イジ</t>
    </rPh>
    <rPh sb="14" eb="16">
      <t>ヒヨウ</t>
    </rPh>
    <rPh sb="20" eb="22">
      <t>ソウテイ</t>
    </rPh>
    <rPh sb="24" eb="27">
      <t>カゲンチ</t>
    </rPh>
    <rPh sb="31" eb="33">
      <t>マンエン</t>
    </rPh>
    <rPh sb="34" eb="36">
      <t>セッテイ</t>
    </rPh>
    <phoneticPr fontId="4"/>
  </si>
  <si>
    <r>
      <rPr>
        <sz val="11"/>
        <color theme="1"/>
        <rFont val="ＭＳ Ｐゴシック"/>
        <family val="3"/>
        <charset val="128"/>
      </rPr>
      <t>　</t>
    </r>
    <r>
      <rPr>
        <sz val="11"/>
        <color theme="1"/>
        <rFont val="Arial"/>
        <family val="2"/>
      </rPr>
      <t>FS</t>
    </r>
    <r>
      <rPr>
        <sz val="11"/>
        <color theme="1"/>
        <rFont val="ＭＳ Ｐゴシック"/>
        <family val="3"/>
        <charset val="128"/>
      </rPr>
      <t>事業情報等から運転維持費用</t>
    </r>
    <r>
      <rPr>
        <sz val="11"/>
        <color theme="1"/>
        <rFont val="Arial"/>
        <family val="2"/>
      </rPr>
      <t>35</t>
    </r>
    <r>
      <rPr>
        <sz val="11"/>
        <color theme="1"/>
        <rFont val="ＭＳ Ｐゴシック"/>
        <family val="3"/>
        <charset val="128"/>
      </rPr>
      <t>％と想定（人件費が下限値の場合、左記比率と異なる場合がある）</t>
    </r>
    <rPh sb="3" eb="5">
      <t>ジギョウ</t>
    </rPh>
    <rPh sb="5" eb="7">
      <t>ジョウホウ</t>
    </rPh>
    <rPh sb="7" eb="8">
      <t>トウ</t>
    </rPh>
    <rPh sb="10" eb="12">
      <t>ウンテン</t>
    </rPh>
    <rPh sb="12" eb="14">
      <t>イジ</t>
    </rPh>
    <rPh sb="14" eb="16">
      <t>ヒヨウ</t>
    </rPh>
    <rPh sb="20" eb="22">
      <t>ソウテイ</t>
    </rPh>
    <phoneticPr fontId="4"/>
  </si>
  <si>
    <r>
      <rPr>
        <sz val="11"/>
        <color theme="1"/>
        <rFont val="ＭＳ Ｐゴシック"/>
        <family val="3"/>
        <charset val="128"/>
      </rPr>
      <t>　</t>
    </r>
    <r>
      <rPr>
        <sz val="11"/>
        <color theme="1"/>
        <rFont val="Arial"/>
        <family val="2"/>
      </rPr>
      <t>FS</t>
    </r>
    <r>
      <rPr>
        <sz val="11"/>
        <color theme="1"/>
        <rFont val="ＭＳ Ｐゴシック"/>
        <family val="3"/>
        <charset val="128"/>
      </rPr>
      <t>事業情報等から運転維持費用</t>
    </r>
    <r>
      <rPr>
        <sz val="11"/>
        <color theme="1"/>
        <rFont val="Arial"/>
        <family val="2"/>
      </rPr>
      <t>15</t>
    </r>
    <r>
      <rPr>
        <sz val="11"/>
        <color theme="1"/>
        <rFont val="ＭＳ Ｐゴシック"/>
        <family val="3"/>
        <charset val="128"/>
      </rPr>
      <t>％と想定（人件費が下限値の場合、左記比率と異なる場合がある）</t>
    </r>
    <rPh sb="3" eb="5">
      <t>ジギョウ</t>
    </rPh>
    <rPh sb="5" eb="7">
      <t>ジョウホウ</t>
    </rPh>
    <rPh sb="7" eb="8">
      <t>トウ</t>
    </rPh>
    <rPh sb="10" eb="12">
      <t>ウンテン</t>
    </rPh>
    <rPh sb="12" eb="14">
      <t>イジ</t>
    </rPh>
    <rPh sb="14" eb="16">
      <t>ヒヨウ</t>
    </rPh>
    <rPh sb="20" eb="22">
      <t>ソウテイ</t>
    </rPh>
    <phoneticPr fontId="4"/>
  </si>
  <si>
    <r>
      <rPr>
        <sz val="11"/>
        <color theme="1"/>
        <rFont val="ＭＳ Ｐゴシック"/>
        <family val="3"/>
        <charset val="128"/>
      </rPr>
      <t>　</t>
    </r>
    <r>
      <rPr>
        <sz val="11"/>
        <color theme="1"/>
        <rFont val="Arial"/>
        <family val="2"/>
      </rPr>
      <t>FS</t>
    </r>
    <r>
      <rPr>
        <sz val="11"/>
        <color theme="1"/>
        <rFont val="ＭＳ Ｐゴシック"/>
        <family val="3"/>
        <charset val="128"/>
      </rPr>
      <t>事業情報等から運転維持費用</t>
    </r>
    <r>
      <rPr>
        <sz val="11"/>
        <color theme="1"/>
        <rFont val="Arial"/>
        <family val="2"/>
      </rPr>
      <t>25</t>
    </r>
    <r>
      <rPr>
        <sz val="11"/>
        <color theme="1"/>
        <rFont val="ＭＳ Ｐゴシック"/>
        <family val="3"/>
        <charset val="128"/>
      </rPr>
      <t>％と想定（人件費が下限値の場合、左記比率と異なる場合がある）</t>
    </r>
    <rPh sb="3" eb="5">
      <t>ジギョウ</t>
    </rPh>
    <rPh sb="5" eb="7">
      <t>ジョウホウ</t>
    </rPh>
    <rPh sb="7" eb="8">
      <t>トウ</t>
    </rPh>
    <rPh sb="10" eb="12">
      <t>ウンテン</t>
    </rPh>
    <rPh sb="12" eb="14">
      <t>イジ</t>
    </rPh>
    <rPh sb="14" eb="16">
      <t>ヒヨウ</t>
    </rPh>
    <rPh sb="20" eb="22">
      <t>ソウテイ</t>
    </rPh>
    <phoneticPr fontId="4"/>
  </si>
  <si>
    <r>
      <rPr>
        <sz val="11"/>
        <color theme="1"/>
        <rFont val="ＭＳ Ｐゴシック"/>
        <family val="3"/>
        <charset val="128"/>
      </rPr>
      <t>　</t>
    </r>
    <r>
      <rPr>
        <sz val="11"/>
        <color theme="1"/>
        <rFont val="Arial"/>
        <family val="2"/>
      </rPr>
      <t>FS</t>
    </r>
    <r>
      <rPr>
        <sz val="11"/>
        <color theme="1"/>
        <rFont val="ＭＳ Ｐゴシック"/>
        <family val="3"/>
        <charset val="128"/>
      </rPr>
      <t>事業情報等から運転維持費用</t>
    </r>
    <r>
      <rPr>
        <sz val="11"/>
        <color theme="1"/>
        <rFont val="Arial"/>
        <family val="2"/>
      </rPr>
      <t>10</t>
    </r>
    <r>
      <rPr>
        <sz val="11"/>
        <color theme="1"/>
        <rFont val="ＭＳ Ｐゴシック"/>
        <family val="3"/>
        <charset val="128"/>
      </rPr>
      <t>％と想定（人件費が下限値の場合、左記比率と異なる場合がある）</t>
    </r>
    <rPh sb="3" eb="5">
      <t>ジギョウ</t>
    </rPh>
    <rPh sb="5" eb="7">
      <t>ジョウホウ</t>
    </rPh>
    <rPh sb="7" eb="8">
      <t>トウ</t>
    </rPh>
    <rPh sb="10" eb="12">
      <t>ウンテン</t>
    </rPh>
    <rPh sb="12" eb="14">
      <t>イジ</t>
    </rPh>
    <rPh sb="14" eb="16">
      <t>ヒヨウ</t>
    </rPh>
    <rPh sb="20" eb="22">
      <t>ソウテイ</t>
    </rPh>
    <phoneticPr fontId="4"/>
  </si>
  <si>
    <r>
      <rPr>
        <sz val="14"/>
        <color theme="1"/>
        <rFont val="ＭＳ Ｐゴシック"/>
        <family val="3"/>
        <charset val="128"/>
      </rPr>
      <t>円</t>
    </r>
    <r>
      <rPr>
        <sz val="14"/>
        <color theme="1"/>
        <rFont val="Arial"/>
        <family val="2"/>
      </rPr>
      <t>/</t>
    </r>
    <r>
      <rPr>
        <sz val="14"/>
        <color theme="1"/>
        <rFont val="ＭＳ Ｐゴシック"/>
        <family val="3"/>
        <charset val="128"/>
      </rPr>
      <t>単位</t>
    </r>
    <rPh sb="0" eb="1">
      <t>エン</t>
    </rPh>
    <rPh sb="2" eb="4">
      <t>タンイ</t>
    </rPh>
    <phoneticPr fontId="4"/>
  </si>
  <si>
    <t>バージョン</t>
    <phoneticPr fontId="4"/>
  </si>
  <si>
    <t>内容</t>
    <rPh sb="0" eb="2">
      <t>ナイヨウ</t>
    </rPh>
    <phoneticPr fontId="4"/>
  </si>
  <si>
    <t>関連出力シート</t>
    <rPh sb="0" eb="1">
      <t>カン</t>
    </rPh>
    <rPh sb="1" eb="2">
      <t>レン</t>
    </rPh>
    <rPh sb="2" eb="4">
      <t>シュツリョク</t>
    </rPh>
    <phoneticPr fontId="4"/>
  </si>
  <si>
    <t>関連出力セル</t>
    <rPh sb="0" eb="1">
      <t>カン</t>
    </rPh>
    <rPh sb="1" eb="2">
      <t>レン</t>
    </rPh>
    <rPh sb="2" eb="4">
      <t>シュツリョク</t>
    </rPh>
    <phoneticPr fontId="4"/>
  </si>
  <si>
    <t>β1.1</t>
  </si>
  <si>
    <t>自治体への地域経済効果の算出について修正を行いました</t>
    <rPh sb="0" eb="3">
      <t>ジチタイ</t>
    </rPh>
    <rPh sb="5" eb="7">
      <t>チイキ</t>
    </rPh>
    <rPh sb="7" eb="9">
      <t>ケイザイ</t>
    </rPh>
    <rPh sb="9" eb="11">
      <t>コウカ</t>
    </rPh>
    <rPh sb="12" eb="14">
      <t>サンシュツ</t>
    </rPh>
    <rPh sb="18" eb="20">
      <t>シュウ</t>
    </rPh>
    <rPh sb="21" eb="22">
      <t>オコナ</t>
    </rPh>
    <phoneticPr fontId="4"/>
  </si>
  <si>
    <t>C202-D2203</t>
    <phoneticPr fontId="4"/>
  </si>
  <si>
    <t>入門編_計算シート</t>
    <rPh sb="0" eb="3">
      <t>ニュウモンヘン</t>
    </rPh>
    <rPh sb="4" eb="6">
      <t>ケイサン</t>
    </rPh>
    <phoneticPr fontId="4"/>
  </si>
  <si>
    <t>初期投資費用の感度分析</t>
    <rPh sb="0" eb="2">
      <t>ショキ</t>
    </rPh>
    <rPh sb="2" eb="4">
      <t>トウシ</t>
    </rPh>
    <rPh sb="4" eb="6">
      <t>ヒヨウ</t>
    </rPh>
    <rPh sb="7" eb="11">
      <t>カンドブンセキ</t>
    </rPh>
    <phoneticPr fontId="5"/>
  </si>
  <si>
    <t>D75</t>
    <phoneticPr fontId="4"/>
  </si>
  <si>
    <t>借り入れ金考慮時の計算について修正を行いました</t>
    <rPh sb="0" eb="1">
      <t>カ</t>
    </rPh>
    <rPh sb="2" eb="3">
      <t>イ</t>
    </rPh>
    <rPh sb="4" eb="5">
      <t>キン</t>
    </rPh>
    <rPh sb="5" eb="7">
      <t>コウリョ</t>
    </rPh>
    <rPh sb="7" eb="8">
      <t>ジ</t>
    </rPh>
    <rPh sb="9" eb="11">
      <t>ケイサン</t>
    </rPh>
    <rPh sb="15" eb="17">
      <t>シュウセイ</t>
    </rPh>
    <rPh sb="18" eb="23">
      <t>オコ</t>
    </rPh>
    <phoneticPr fontId="2"/>
  </si>
  <si>
    <t>3,300,000円 から 6,949,000円まで　https://www.nta.go.jp/taxes/shiraberu/taxanswer/shotoku/2260.htm</t>
    <phoneticPr fontId="4"/>
  </si>
  <si>
    <t>資本金１億円以下の普通法人　https://www.nta.go.jp/taxes/shiraberu/taxanswer/hojin/5759.htm</t>
    <rPh sb="9" eb="13">
      <t>フツウホウジン</t>
    </rPh>
    <phoneticPr fontId="4"/>
  </si>
  <si>
    <t>総額</t>
    <rPh sb="0" eb="2">
      <t>ソウガク</t>
    </rPh>
    <phoneticPr fontId="4"/>
  </si>
  <si>
    <t>その他事業者（資本金一億円以下を想定）</t>
    <rPh sb="2" eb="3">
      <t>タ</t>
    </rPh>
    <rPh sb="3" eb="6">
      <t>ジギョウシャ</t>
    </rPh>
    <rPh sb="7" eb="10">
      <t>シホンキン</t>
    </rPh>
    <rPh sb="10" eb="13">
      <t>イチ</t>
    </rPh>
    <rPh sb="13" eb="15">
      <t>イカ</t>
    </rPh>
    <rPh sb="16" eb="18">
      <t>ソウテイ</t>
    </rPh>
    <phoneticPr fontId="4"/>
  </si>
  <si>
    <t>法人事業税（収入割）</t>
    <rPh sb="0" eb="2">
      <t>ホウジン</t>
    </rPh>
    <rPh sb="2" eb="5">
      <t>ジギョウゼイ</t>
    </rPh>
    <rPh sb="3" eb="4">
      <t>ギョウ</t>
    </rPh>
    <rPh sb="4" eb="5">
      <t>ゼイ</t>
    </rPh>
    <rPh sb="6" eb="8">
      <t>シュウニュウ</t>
    </rPh>
    <rPh sb="8" eb="9">
      <t>ワリ</t>
    </rPh>
    <phoneticPr fontId="4"/>
  </si>
  <si>
    <t>法人事業税（所得割）</t>
    <rPh sb="0" eb="2">
      <t>ホウジン</t>
    </rPh>
    <rPh sb="2" eb="5">
      <t>ジギョウゼイ</t>
    </rPh>
    <rPh sb="3" eb="4">
      <t>ギョウ</t>
    </rPh>
    <rPh sb="4" eb="5">
      <t>ゼイ</t>
    </rPh>
    <rPh sb="6" eb="9">
      <t>ショトクワリ</t>
    </rPh>
    <phoneticPr fontId="4"/>
  </si>
  <si>
    <t>特別法人事業税（法人事業税所得割比）</t>
    <rPh sb="0" eb="2">
      <t>トクベツ</t>
    </rPh>
    <rPh sb="2" eb="7">
      <t>ホウジンジギョウゼイ</t>
    </rPh>
    <rPh sb="8" eb="13">
      <t>ホウジンジギョウゼイ</t>
    </rPh>
    <rPh sb="13" eb="15">
      <t>ショトク</t>
    </rPh>
    <rPh sb="15" eb="16">
      <t>ワリ</t>
    </rPh>
    <rPh sb="16" eb="17">
      <t>ヒ</t>
    </rPh>
    <phoneticPr fontId="4"/>
  </si>
  <si>
    <t>発電事業者（資本金一億円以下を想定）</t>
    <rPh sb="0" eb="5">
      <t>ハツデンジギョウシャ</t>
    </rPh>
    <rPh sb="6" eb="9">
      <t>シホンキン</t>
    </rPh>
    <rPh sb="9" eb="12">
      <t>イチオクエン</t>
    </rPh>
    <rPh sb="12" eb="14">
      <t>イカ</t>
    </rPh>
    <rPh sb="15" eb="17">
      <t>ソウテイ</t>
    </rPh>
    <phoneticPr fontId="4"/>
  </si>
  <si>
    <t>特別法人事業税（法人事業税収入割比）</t>
    <rPh sb="0" eb="2">
      <t>トクベツ</t>
    </rPh>
    <rPh sb="2" eb="7">
      <t>ホウジンジギョウゼイ</t>
    </rPh>
    <rPh sb="8" eb="13">
      <t>ホウジンジギョウゼイ</t>
    </rPh>
    <rPh sb="13" eb="15">
      <t>シュウニュウ</t>
    </rPh>
    <rPh sb="15" eb="16">
      <t>ワリ</t>
    </rPh>
    <rPh sb="16" eb="17">
      <t>ヒ</t>
    </rPh>
    <phoneticPr fontId="4"/>
  </si>
  <si>
    <t>更新　所得割比</t>
    <rPh sb="0" eb="2">
      <t>コウシン</t>
    </rPh>
    <rPh sb="3" eb="6">
      <t>ショトクワリ</t>
    </rPh>
    <rPh sb="6" eb="7">
      <t>ヒ</t>
    </rPh>
    <phoneticPr fontId="4"/>
  </si>
  <si>
    <t>https://www.soumu.go.jp/main_sosiki/jichi_zeisei/czaisei/czaisei_seido/149767_04.html</t>
  </si>
  <si>
    <t>更新　法人税割比</t>
    <rPh sb="0" eb="2">
      <t>コウシン</t>
    </rPh>
    <rPh sb="3" eb="6">
      <t>ホウジンゼイ</t>
    </rPh>
    <rPh sb="6" eb="7">
      <t>ワリ</t>
    </rPh>
    <rPh sb="7" eb="8">
      <t>ヒ</t>
    </rPh>
    <phoneticPr fontId="4"/>
  </si>
  <si>
    <t>https://www.soumu.go.jp/main_content/000758659.pdf</t>
    <phoneticPr fontId="4"/>
  </si>
  <si>
    <t>https://www.pref.kyoto.jp/zeimu/documents/zeirituhyou.pdf</t>
    <phoneticPr fontId="4"/>
  </si>
  <si>
    <t>https://www.pref.kyoto.jp/zeimu/documents/zeirituhyou.pdf</t>
  </si>
  <si>
    <t>総務省HP</t>
    <rPh sb="0" eb="3">
      <t>ソウムショウ</t>
    </rPh>
    <phoneticPr fontId="4"/>
  </si>
  <si>
    <t>均等割市町村</t>
    <rPh sb="0" eb="3">
      <t>キントウワリ</t>
    </rPh>
    <rPh sb="3" eb="6">
      <t>シチョウソン</t>
    </rPh>
    <phoneticPr fontId="4"/>
  </si>
  <si>
    <t>均等割都道府県</t>
    <rPh sb="0" eb="3">
      <t>キントウワリ</t>
    </rPh>
    <rPh sb="3" eb="7">
      <t>トドウフケン</t>
    </rPh>
    <phoneticPr fontId="4"/>
  </si>
  <si>
    <t>所得割/法人税割（市町村）</t>
    <rPh sb="0" eb="3">
      <t>ショトクワリ</t>
    </rPh>
    <rPh sb="4" eb="8">
      <t>ホウジンゼイワリ</t>
    </rPh>
    <rPh sb="9" eb="12">
      <t>シチョウソン</t>
    </rPh>
    <phoneticPr fontId="4"/>
  </si>
  <si>
    <t>所得割/法人税割（都道府県）</t>
    <rPh sb="0" eb="3">
      <t>ショトクワリ</t>
    </rPh>
    <rPh sb="4" eb="8">
      <t>ホウジンゼイワリ</t>
    </rPh>
    <rPh sb="9" eb="13">
      <t>トドウフケン</t>
    </rPh>
    <phoneticPr fontId="4"/>
  </si>
  <si>
    <t>均等割標準税率（年額）</t>
    <rPh sb="0" eb="3">
      <t>キントウワリ</t>
    </rPh>
    <rPh sb="3" eb="7">
      <t>ヒョウジュンゼイリツ</t>
    </rPh>
    <rPh sb="8" eb="10">
      <t>ネンガク</t>
    </rPh>
    <phoneticPr fontId="4"/>
  </si>
  <si>
    <t>数値は総務省HP令和元年度見込額より</t>
    <rPh sb="0" eb="2">
      <t>スウチ</t>
    </rPh>
    <rPh sb="3" eb="6">
      <t>ソウムショウ</t>
    </rPh>
    <rPh sb="8" eb="10">
      <t>レイワ</t>
    </rPh>
    <rPh sb="10" eb="11">
      <t>ガン</t>
    </rPh>
    <rPh sb="11" eb="13">
      <t>ネンド</t>
    </rPh>
    <rPh sb="13" eb="16">
      <t>ミコミガク</t>
    </rPh>
    <phoneticPr fontId="4"/>
  </si>
  <si>
    <t>※個人住民税収全額における所得割との比率で計算</t>
    <rPh sb="1" eb="6">
      <t>コジンジュウミンゼイ</t>
    </rPh>
    <rPh sb="6" eb="7">
      <t>シュウ</t>
    </rPh>
    <rPh sb="7" eb="9">
      <t>ゼンガク</t>
    </rPh>
    <rPh sb="13" eb="16">
      <t>ショトクワリ</t>
    </rPh>
    <rPh sb="18" eb="20">
      <t>ヒリツ</t>
    </rPh>
    <rPh sb="21" eb="23">
      <t>ケイサン</t>
    </rPh>
    <phoneticPr fontId="4"/>
  </si>
  <si>
    <t>億円</t>
    <rPh sb="0" eb="1">
      <t>オク</t>
    </rPh>
    <rPh sb="1" eb="2">
      <t>エン</t>
    </rPh>
    <phoneticPr fontId="4"/>
  </si>
  <si>
    <t>https://www.soumu.go.jp/main_sosiki/jichi_zeisei/czaisei/czaisei_seido/pdf/ichiran06_h31/ichiran06_h31_00.pdf</t>
    <phoneticPr fontId="4"/>
  </si>
  <si>
    <t>※※法人住民税収全額における法人税割との比率で計算</t>
    <rPh sb="2" eb="4">
      <t>ホウジン</t>
    </rPh>
    <rPh sb="4" eb="7">
      <t>ジュウミンゼイ</t>
    </rPh>
    <rPh sb="7" eb="8">
      <t>シュウ</t>
    </rPh>
    <rPh sb="8" eb="10">
      <t>ゼンガク</t>
    </rPh>
    <rPh sb="14" eb="16">
      <t>ホウジン</t>
    </rPh>
    <rPh sb="16" eb="17">
      <t>ゼイ</t>
    </rPh>
    <rPh sb="17" eb="18">
      <t>ワリ</t>
    </rPh>
    <rPh sb="20" eb="22">
      <t>ヒリツ</t>
    </rPh>
    <rPh sb="23" eb="25">
      <t>ケイサン</t>
    </rPh>
    <phoneticPr fontId="4"/>
  </si>
  <si>
    <t>売上（税別）</t>
    <phoneticPr fontId="4"/>
  </si>
  <si>
    <t>消費税（市町村）</t>
    <rPh sb="0" eb="3">
      <t>ショウヒゼイ</t>
    </rPh>
    <rPh sb="4" eb="7">
      <t>シチョウソン</t>
    </rPh>
    <phoneticPr fontId="4"/>
  </si>
  <si>
    <t>地域内循環キャッシュ</t>
    <rPh sb="0" eb="3">
      <t>チイキナ</t>
    </rPh>
    <rPh sb="3" eb="5">
      <t>ジュンカン</t>
    </rPh>
    <phoneticPr fontId="4"/>
  </si>
  <si>
    <t>円</t>
  </si>
  <si>
    <t>地域外流出費用</t>
    <rPh sb="0" eb="2">
      <t>チイキ</t>
    </rPh>
    <rPh sb="2" eb="3">
      <t>ガイ</t>
    </rPh>
    <rPh sb="3" eb="5">
      <t>リュウシュツ</t>
    </rPh>
    <rPh sb="5" eb="7">
      <t>ヒヨウ</t>
    </rPh>
    <phoneticPr fontId="4"/>
  </si>
  <si>
    <t>所得税のうち国税</t>
    <rPh sb="0" eb="3">
      <t>ショトクゼイ</t>
    </rPh>
    <rPh sb="6" eb="8">
      <t>コクゼイ</t>
    </rPh>
    <phoneticPr fontId="4"/>
  </si>
  <si>
    <t>地域内循環キャッシュ（人件費）</t>
    <rPh sb="0" eb="3">
      <t>チイキナ</t>
    </rPh>
    <rPh sb="3" eb="5">
      <t>ジュンカン</t>
    </rPh>
    <rPh sb="11" eb="14">
      <t>ジンケンヒ</t>
    </rPh>
    <phoneticPr fontId="4"/>
  </si>
  <si>
    <t>地域外流出費用（人件費）</t>
    <rPh sb="0" eb="2">
      <t>チイキ</t>
    </rPh>
    <rPh sb="2" eb="3">
      <t>ガイ</t>
    </rPh>
    <rPh sb="3" eb="5">
      <t>リュウシュツ</t>
    </rPh>
    <rPh sb="5" eb="7">
      <t>ヒヨウ</t>
    </rPh>
    <rPh sb="8" eb="11">
      <t>ジンケンヒ</t>
    </rPh>
    <phoneticPr fontId="4"/>
  </si>
  <si>
    <t>費用総額</t>
    <rPh sb="0" eb="2">
      <t>ヒヨウ</t>
    </rPh>
    <rPh sb="2" eb="4">
      <t>ソウガク</t>
    </rPh>
    <phoneticPr fontId="4"/>
  </si>
  <si>
    <t>所得税うち国税</t>
    <rPh sb="0" eb="3">
      <t>ショトクゼイ</t>
    </rPh>
    <rPh sb="5" eb="7">
      <t>コクゼイ</t>
    </rPh>
    <phoneticPr fontId="4"/>
  </si>
  <si>
    <t>○事業開始後　地域内で循環するキャッシュの総量</t>
    <rPh sb="1" eb="5">
      <t>ジギョウカイシ</t>
    </rPh>
    <rPh sb="5" eb="6">
      <t>ゴ</t>
    </rPh>
    <rPh sb="7" eb="10">
      <t>チイキナイ</t>
    </rPh>
    <rPh sb="11" eb="13">
      <t>ジュンカン</t>
    </rPh>
    <rPh sb="21" eb="23">
      <t>ソウリョウ</t>
    </rPh>
    <phoneticPr fontId="4"/>
  </si>
  <si>
    <t>投入金額</t>
    <rPh sb="0" eb="2">
      <t>トウニュウ</t>
    </rPh>
    <rPh sb="2" eb="4">
      <t>キンガク</t>
    </rPh>
    <phoneticPr fontId="4"/>
  </si>
  <si>
    <t>事業者国税</t>
    <rPh sb="0" eb="3">
      <t>ジギョウシャ</t>
    </rPh>
    <rPh sb="3" eb="5">
      <t>コクゼイ</t>
    </rPh>
    <phoneticPr fontId="4"/>
  </si>
  <si>
    <t>事業者利益配当（域外）</t>
    <rPh sb="0" eb="3">
      <t>ジギョウシャ</t>
    </rPh>
    <rPh sb="3" eb="5">
      <t>リエキ</t>
    </rPh>
    <rPh sb="5" eb="7">
      <t>ハイトウ</t>
    </rPh>
    <rPh sb="8" eb="10">
      <t>イキガイ</t>
    </rPh>
    <phoneticPr fontId="4"/>
  </si>
  <si>
    <t>バイオマス供給元スループット</t>
  </si>
  <si>
    <t>従業員可処分所得</t>
  </si>
  <si>
    <t>事業者キャッシュ増減（出資比率考慮後）</t>
  </si>
  <si>
    <t>他事業の従業員所得（一次）</t>
  </si>
  <si>
    <t>他事業の事業利益（一次）</t>
  </si>
  <si>
    <t>うち建設関連</t>
  </si>
  <si>
    <t>うち運転維持関連</t>
  </si>
  <si>
    <t>都道府県税収（一次）</t>
  </si>
  <si>
    <t>市町村税収（一次）</t>
  </si>
  <si>
    <t>他事業の従業員所得（二次以降）</t>
  </si>
  <si>
    <t>他事業の事業利益（二次以降）</t>
  </si>
  <si>
    <t>都道府県税収（二次以降）</t>
  </si>
  <si>
    <t>市町村税収（二次以降）</t>
  </si>
  <si>
    <t>金利支払い</t>
  </si>
  <si>
    <t>その他収入</t>
    <rPh sb="2" eb="3">
      <t>タ</t>
    </rPh>
    <rPh sb="3" eb="5">
      <t>シュウニュウ</t>
    </rPh>
    <phoneticPr fontId="4"/>
  </si>
  <si>
    <t>円</t>
    <rPh sb="0" eb="1">
      <t>エン</t>
    </rPh>
    <phoneticPr fontId="4"/>
  </si>
  <si>
    <t>https://www.soumu.go.jp/main_sosiki/jichi_zeisei/czaisei/czaisei_seido/149767_04.html</t>
    <phoneticPr fontId="4"/>
  </si>
  <si>
    <t>　法人税（国税）</t>
  </si>
  <si>
    <t>　法人税（都道府県）</t>
  </si>
  <si>
    <t>　法人税（市町村）</t>
  </si>
  <si>
    <t>（重要）本ツールの位置づけと実際の検討における注意点</t>
    <rPh sb="1" eb="3">
      <t>ジュウヨウ</t>
    </rPh>
    <rPh sb="4" eb="5">
      <t>ホン</t>
    </rPh>
    <rPh sb="5" eb="6">
      <t>ジホン</t>
    </rPh>
    <rPh sb="9" eb="11">
      <t>イチ</t>
    </rPh>
    <rPh sb="14" eb="16">
      <t>ジッサイ</t>
    </rPh>
    <rPh sb="17" eb="19">
      <t>ケントウ</t>
    </rPh>
    <rPh sb="23" eb="26">
      <t>チュウイテン</t>
    </rPh>
    <phoneticPr fontId="4"/>
  </si>
  <si>
    <t>　　　→　費目の変動要素はSTEP 2のPointや、ガイドラインを参照ください</t>
    <rPh sb="5" eb="7">
      <t>ヒモク</t>
    </rPh>
    <rPh sb="8" eb="10">
      <t>ヘンドウ</t>
    </rPh>
    <rPh sb="10" eb="12">
      <t>ヨウソ</t>
    </rPh>
    <rPh sb="34" eb="36">
      <t>サンショウ</t>
    </rPh>
    <phoneticPr fontId="5"/>
  </si>
  <si>
    <r>
      <t>　・　バイオマス事業は地域条件によって設備コストやバイオマス資源の性質等が大きく異なるため、</t>
    </r>
    <r>
      <rPr>
        <b/>
        <sz val="12"/>
        <color rgb="FFFF0000"/>
        <rFont val="ＭＳ Ｐゴシック"/>
        <family val="3"/>
        <charset val="128"/>
        <scheme val="minor"/>
      </rPr>
      <t>実際の事業性判断にはFS調査によるを精緻化する必要があります。</t>
    </r>
    <rPh sb="19" eb="21">
      <t>セツビ</t>
    </rPh>
    <rPh sb="46" eb="48">
      <t>ジッサイ</t>
    </rPh>
    <rPh sb="49" eb="51">
      <t>ジギョウ</t>
    </rPh>
    <rPh sb="51" eb="52">
      <t>セイ</t>
    </rPh>
    <rPh sb="52" eb="54">
      <t>ハンダン</t>
    </rPh>
    <phoneticPr fontId="4"/>
  </si>
  <si>
    <r>
      <t>　・　本計算ツールで試算した結果はバイオマス事業の全体感を把握するものであり、</t>
    </r>
    <r>
      <rPr>
        <b/>
        <sz val="12"/>
        <color rgb="FFFF0000"/>
        <rFont val="ＭＳ Ｐゴシック"/>
        <family val="3"/>
        <charset val="128"/>
        <scheme val="minor"/>
      </rPr>
      <t>事業性を確約するものでは無いことにご注意ください</t>
    </r>
    <r>
      <rPr>
        <sz val="12"/>
        <rFont val="ＭＳ Ｐゴシック"/>
        <family val="3"/>
        <charset val="128"/>
        <scheme val="minor"/>
      </rPr>
      <t>。</t>
    </r>
    <rPh sb="3" eb="4">
      <t>ホン</t>
    </rPh>
    <rPh sb="4" eb="6">
      <t>ケイサン</t>
    </rPh>
    <rPh sb="10" eb="12">
      <t>シサン</t>
    </rPh>
    <rPh sb="14" eb="16">
      <t>ケッカ</t>
    </rPh>
    <rPh sb="22" eb="24">
      <t>ジギョウ</t>
    </rPh>
    <rPh sb="25" eb="27">
      <t>ゼンタイ</t>
    </rPh>
    <rPh sb="27" eb="28">
      <t>カン</t>
    </rPh>
    <rPh sb="29" eb="31">
      <t>ハアク</t>
    </rPh>
    <rPh sb="39" eb="42">
      <t>ジギョウセイ</t>
    </rPh>
    <rPh sb="43" eb="45">
      <t>カクヤク</t>
    </rPh>
    <rPh sb="51" eb="52">
      <t>ナ</t>
    </rPh>
    <rPh sb="57" eb="59">
      <t>チュウイ</t>
    </rPh>
    <phoneticPr fontId="4"/>
  </si>
  <si>
    <t>　※　本分析のご利用に関する注意事項は"はじめに"のシートをご確認ください</t>
    <rPh sb="3" eb="6">
      <t>ホンブンセキ</t>
    </rPh>
    <rPh sb="8" eb="10">
      <t>リヨウ</t>
    </rPh>
    <rPh sb="11" eb="12">
      <t>カン</t>
    </rPh>
    <rPh sb="14" eb="18">
      <t>チュウイジコウ</t>
    </rPh>
    <rPh sb="31" eb="33">
      <t>カクニン</t>
    </rPh>
    <phoneticPr fontId="5"/>
  </si>
  <si>
    <r>
      <t>　・　本計算ツールは</t>
    </r>
    <r>
      <rPr>
        <b/>
        <sz val="12"/>
        <color rgb="FFFF0000"/>
        <rFont val="ＭＳ Ｐゴシック"/>
        <family val="3"/>
        <charset val="128"/>
        <scheme val="minor"/>
      </rPr>
      <t>各入力条件の感度分析をとおして、事業の成立において影響度の高い費目と規模感を把握し、バイオマス事業への理解を深めていただくことを目的と</t>
    </r>
    <rPh sb="3" eb="4">
      <t>ホン</t>
    </rPh>
    <rPh sb="4" eb="6">
      <t>ケイサン</t>
    </rPh>
    <rPh sb="10" eb="13">
      <t>カクニュウリョク</t>
    </rPh>
    <rPh sb="13" eb="15">
      <t>ジョウケン</t>
    </rPh>
    <rPh sb="16" eb="20">
      <t>カンドブンセキ</t>
    </rPh>
    <rPh sb="26" eb="28">
      <t>ジギョウ</t>
    </rPh>
    <rPh sb="29" eb="31">
      <t>セイリツ</t>
    </rPh>
    <rPh sb="35" eb="38">
      <t>エイキョウド</t>
    </rPh>
    <rPh sb="39" eb="40">
      <t>タカ</t>
    </rPh>
    <rPh sb="41" eb="43">
      <t>ヒモク</t>
    </rPh>
    <rPh sb="44" eb="47">
      <t>キボカン</t>
    </rPh>
    <rPh sb="48" eb="50">
      <t>ハアク</t>
    </rPh>
    <rPh sb="57" eb="59">
      <t>ジギョウ</t>
    </rPh>
    <rPh sb="61" eb="63">
      <t>リカイ</t>
    </rPh>
    <rPh sb="64" eb="65">
      <t>フカ</t>
    </rPh>
    <rPh sb="74" eb="76">
      <t>モクテキ</t>
    </rPh>
    <phoneticPr fontId="4"/>
  </si>
  <si>
    <r>
      <t>　　　</t>
    </r>
    <r>
      <rPr>
        <b/>
        <sz val="12"/>
        <color rgb="FFFF0000"/>
        <rFont val="ＭＳ Ｐゴシック"/>
        <family val="3"/>
        <charset val="128"/>
        <scheme val="minor"/>
      </rPr>
      <t>しています。</t>
    </r>
    <phoneticPr fontId="5"/>
  </si>
  <si>
    <t>Point　STEP2の初期条件における注意点（感度分析における主要パラメーター）</t>
    <rPh sb="12" eb="14">
      <t>ショキ</t>
    </rPh>
    <rPh sb="14" eb="16">
      <t>ジョウケン</t>
    </rPh>
    <rPh sb="20" eb="23">
      <t>チュウイテン</t>
    </rPh>
    <rPh sb="24" eb="28">
      <t>カンドブンセキ</t>
    </rPh>
    <rPh sb="32" eb="34">
      <t>シュヨウ</t>
    </rPh>
    <phoneticPr fontId="4"/>
  </si>
  <si>
    <t>　・　バイオマス原料の調達価格</t>
    <rPh sb="8" eb="10">
      <t>ゲンリョウ</t>
    </rPh>
    <rPh sb="11" eb="13">
      <t>チョウタツ</t>
    </rPh>
    <rPh sb="13" eb="15">
      <t>カカク</t>
    </rPh>
    <phoneticPr fontId="5"/>
  </si>
  <si>
    <t>　・　年間稼働日数と稼働時間</t>
    <rPh sb="3" eb="5">
      <t>ネンカン</t>
    </rPh>
    <rPh sb="5" eb="7">
      <t>カドウ</t>
    </rPh>
    <rPh sb="7" eb="9">
      <t>ニッスウ</t>
    </rPh>
    <rPh sb="10" eb="14">
      <t>カドウジカン</t>
    </rPh>
    <phoneticPr fontId="5"/>
  </si>
  <si>
    <t>　・　エネルギー販売費用</t>
    <rPh sb="8" eb="10">
      <t>ハンバイ</t>
    </rPh>
    <rPh sb="10" eb="12">
      <t>ヒヨウ</t>
    </rPh>
    <phoneticPr fontId="5"/>
  </si>
  <si>
    <t>　・　設備費</t>
    <rPh sb="3" eb="5">
      <t>セツビ</t>
    </rPh>
    <phoneticPr fontId="5"/>
  </si>
  <si>
    <t>　　　設備が海外メーカーとなる場合は事業実施地域までの輸送コストも発生することに注意</t>
    <rPh sb="3" eb="5">
      <t>セツビ</t>
    </rPh>
    <rPh sb="6" eb="8">
      <t>カイガイ</t>
    </rPh>
    <rPh sb="15" eb="17">
      <t>バアイ</t>
    </rPh>
    <rPh sb="18" eb="22">
      <t>ジギョウジッシ</t>
    </rPh>
    <rPh sb="22" eb="24">
      <t>チイキ</t>
    </rPh>
    <rPh sb="27" eb="29">
      <t>ユソウ</t>
    </rPh>
    <rPh sb="33" eb="35">
      <t>ハッセイ</t>
    </rPh>
    <rPh sb="40" eb="42">
      <t>チュウイ</t>
    </rPh>
    <phoneticPr fontId="5"/>
  </si>
  <si>
    <t>　・　工事費</t>
    <rPh sb="3" eb="5">
      <t>コウジ</t>
    </rPh>
    <phoneticPr fontId="5"/>
  </si>
  <si>
    <t>　　　事業実施地域の土壌や、傾斜などの状況により工事費用が変動しやすいことに注意</t>
    <rPh sb="3" eb="7">
      <t>ジギョウジッシ</t>
    </rPh>
    <rPh sb="7" eb="9">
      <t>チイキ</t>
    </rPh>
    <rPh sb="10" eb="12">
      <t>ドジョウ</t>
    </rPh>
    <rPh sb="14" eb="16">
      <t>ケイシャ</t>
    </rPh>
    <rPh sb="19" eb="21">
      <t>ジョウキョウ</t>
    </rPh>
    <rPh sb="24" eb="28">
      <t>コウジヒヨウ</t>
    </rPh>
    <rPh sb="29" eb="31">
      <t>ヘンドウ</t>
    </rPh>
    <rPh sb="38" eb="40">
      <t>チュウイ</t>
    </rPh>
    <phoneticPr fontId="5"/>
  </si>
  <si>
    <t>　・　メンテナンス・修繕費</t>
    <rPh sb="10" eb="13">
      <t>シュウゼンヒ</t>
    </rPh>
    <phoneticPr fontId="5"/>
  </si>
  <si>
    <t>　　　大規模改修の見積もりも必ず行う必要がある。デフォルト値は20年平均で算出したもの。</t>
    <rPh sb="3" eb="6">
      <t>ダイキボ</t>
    </rPh>
    <rPh sb="6" eb="8">
      <t>カイシュウ</t>
    </rPh>
    <rPh sb="9" eb="11">
      <t>ミツ</t>
    </rPh>
    <rPh sb="14" eb="15">
      <t>カナラ</t>
    </rPh>
    <rPh sb="16" eb="17">
      <t>オコナ</t>
    </rPh>
    <rPh sb="18" eb="20">
      <t>ヒツヨウ</t>
    </rPh>
    <rPh sb="29" eb="30">
      <t>チ</t>
    </rPh>
    <rPh sb="33" eb="36">
      <t>ネンヘイキン</t>
    </rPh>
    <rPh sb="37" eb="39">
      <t>サンシュツ</t>
    </rPh>
    <phoneticPr fontId="5"/>
  </si>
  <si>
    <t>　・　人件費</t>
    <rPh sb="3" eb="6">
      <t>ジンケンヒ</t>
    </rPh>
    <phoneticPr fontId="5"/>
  </si>
  <si>
    <t>　事業の費用は実施地域や条件に応じて変動しやすい。下記を踏まえたパラメータースタディを推奨</t>
    <rPh sb="1" eb="3">
      <t>ジギョウ</t>
    </rPh>
    <rPh sb="4" eb="6">
      <t>ヒヨウ</t>
    </rPh>
    <rPh sb="7" eb="9">
      <t>ジッシ</t>
    </rPh>
    <rPh sb="9" eb="11">
      <t>チイキ</t>
    </rPh>
    <rPh sb="12" eb="14">
      <t>ジョウケン</t>
    </rPh>
    <rPh sb="15" eb="16">
      <t>オウ</t>
    </rPh>
    <rPh sb="18" eb="20">
      <t>ヘンドウ</t>
    </rPh>
    <rPh sb="25" eb="27">
      <t>カキ</t>
    </rPh>
    <rPh sb="28" eb="29">
      <t>フ</t>
    </rPh>
    <rPh sb="43" eb="45">
      <t>スイショウ</t>
    </rPh>
    <phoneticPr fontId="5"/>
  </si>
  <si>
    <t>　　　メタン発酵においては、廃棄物の性状や季節間の調達量変動によって設備利用率が変動しやすい。</t>
    <rPh sb="6" eb="8">
      <t>ハッコウ</t>
    </rPh>
    <rPh sb="14" eb="17">
      <t>ハイキブツ</t>
    </rPh>
    <rPh sb="18" eb="20">
      <t>セイジョウ</t>
    </rPh>
    <rPh sb="21" eb="23">
      <t>キセツ</t>
    </rPh>
    <rPh sb="23" eb="24">
      <t>カン</t>
    </rPh>
    <rPh sb="25" eb="27">
      <t>チョウタツ</t>
    </rPh>
    <rPh sb="27" eb="28">
      <t>リョウ</t>
    </rPh>
    <rPh sb="28" eb="30">
      <t>ヘンドウ</t>
    </rPh>
    <rPh sb="34" eb="39">
      <t>セツビ</t>
    </rPh>
    <rPh sb="40" eb="42">
      <t>ヘンドウ</t>
    </rPh>
    <phoneticPr fontId="5"/>
  </si>
  <si>
    <t>　　　電力の販売価格は需要家の現在の取引価格や環境価値を踏まえて交渉することが必要</t>
    <rPh sb="3" eb="5">
      <t>デンリョク</t>
    </rPh>
    <rPh sb="6" eb="8">
      <t>ハンバイ</t>
    </rPh>
    <rPh sb="8" eb="10">
      <t>カカク</t>
    </rPh>
    <rPh sb="11" eb="14">
      <t>ジュヨウカ</t>
    </rPh>
    <rPh sb="15" eb="17">
      <t>ゲンザイ</t>
    </rPh>
    <rPh sb="18" eb="22">
      <t>トリヒキカカク</t>
    </rPh>
    <rPh sb="23" eb="27">
      <t>カンキョウカチ</t>
    </rPh>
    <rPh sb="28" eb="29">
      <t>フ</t>
    </rPh>
    <rPh sb="32" eb="34">
      <t>コウショウ</t>
    </rPh>
    <rPh sb="39" eb="41">
      <t>ヒツヨウ</t>
    </rPh>
    <phoneticPr fontId="5"/>
  </si>
  <si>
    <t>　・　その他の収入</t>
    <rPh sb="5" eb="6">
      <t>タ</t>
    </rPh>
    <rPh sb="7" eb="9">
      <t>シュウニュウ</t>
    </rPh>
    <phoneticPr fontId="5"/>
  </si>
  <si>
    <t>　　　Point　副生物の利用・処理の検討を参照</t>
    <rPh sb="9" eb="12">
      <t>フクセイブツ</t>
    </rPh>
    <rPh sb="13" eb="15">
      <t>リヨウ</t>
    </rPh>
    <rPh sb="16" eb="18">
      <t>ショリ</t>
    </rPh>
    <rPh sb="19" eb="21">
      <t>ケントウ</t>
    </rPh>
    <rPh sb="22" eb="24">
      <t>サンショウ</t>
    </rPh>
    <phoneticPr fontId="5"/>
  </si>
  <si>
    <t>　・　薬剤・消耗品費用</t>
    <rPh sb="3" eb="5">
      <t>ヤクザイ</t>
    </rPh>
    <rPh sb="6" eb="9">
      <t>ショウモウヒン</t>
    </rPh>
    <rPh sb="9" eb="11">
      <t>ヒヨウ</t>
    </rPh>
    <phoneticPr fontId="5"/>
  </si>
  <si>
    <t>　　　メタン発酵後の消化液の処理方法が事業性を左右しやすい。Point　副生物の利用・処理の検討を参照</t>
    <rPh sb="6" eb="8">
      <t>ハッコウ</t>
    </rPh>
    <rPh sb="8" eb="9">
      <t>ゴ</t>
    </rPh>
    <rPh sb="10" eb="13">
      <t>ショウカエキ</t>
    </rPh>
    <rPh sb="14" eb="16">
      <t>ショリ</t>
    </rPh>
    <rPh sb="16" eb="18">
      <t>ホウホウ</t>
    </rPh>
    <rPh sb="19" eb="22">
      <t>ジギョウセイ</t>
    </rPh>
    <rPh sb="23" eb="25">
      <t>サユウ</t>
    </rPh>
    <phoneticPr fontId="5"/>
  </si>
  <si>
    <t>　　　デフォルトでは最低1名相当の費用を見込んでいるが、既存施設への設置の場合は人材リソースを追加</t>
    <rPh sb="10" eb="12">
      <t>サイテイ</t>
    </rPh>
    <rPh sb="13" eb="14">
      <t>メイ</t>
    </rPh>
    <rPh sb="14" eb="16">
      <t>ソウトウ</t>
    </rPh>
    <rPh sb="17" eb="19">
      <t>ヒヨウ</t>
    </rPh>
    <rPh sb="20" eb="22">
      <t>ミコ</t>
    </rPh>
    <rPh sb="28" eb="30">
      <t>キゾン</t>
    </rPh>
    <rPh sb="30" eb="32">
      <t>シセツ</t>
    </rPh>
    <rPh sb="34" eb="36">
      <t>セッチ</t>
    </rPh>
    <rPh sb="37" eb="39">
      <t>バアイ</t>
    </rPh>
    <rPh sb="40" eb="42">
      <t>ジンザイ</t>
    </rPh>
    <rPh sb="47" eb="49">
      <t>ツイカ</t>
    </rPh>
    <phoneticPr fontId="5"/>
  </si>
  <si>
    <t>　　　する必要がなくなる。</t>
    <phoneticPr fontId="4"/>
  </si>
  <si>
    <t>　・　メタン発酵設備以外にも系統接続費や土地造成費などの投資が必要となることもある。　</t>
    <rPh sb="6" eb="8">
      <t>ハッコウ</t>
    </rPh>
    <rPh sb="8" eb="10">
      <t>セツビ</t>
    </rPh>
    <rPh sb="10" eb="12">
      <t>イガイ</t>
    </rPh>
    <rPh sb="14" eb="16">
      <t>ケイトウ</t>
    </rPh>
    <rPh sb="16" eb="18">
      <t>セツゾク</t>
    </rPh>
    <rPh sb="18" eb="19">
      <t>ヒ</t>
    </rPh>
    <rPh sb="20" eb="22">
      <t>トチ</t>
    </rPh>
    <rPh sb="22" eb="24">
      <t>ゾウセイ</t>
    </rPh>
    <rPh sb="24" eb="25">
      <t>ヒ</t>
    </rPh>
    <rPh sb="28" eb="30">
      <t>トウシ</t>
    </rPh>
    <rPh sb="31" eb="33">
      <t>ヒツヨウ</t>
    </rPh>
    <phoneticPr fontId="4"/>
  </si>
  <si>
    <t>　・　詳細な設備費用はFS段階で原料規模やエネルギー利用システムが決まり、基本設計を行った際に明確</t>
    <rPh sb="3" eb="5">
      <t>ショウサイ</t>
    </rPh>
    <rPh sb="6" eb="8">
      <t>セツビ</t>
    </rPh>
    <rPh sb="8" eb="10">
      <t>ヒヨウ</t>
    </rPh>
    <rPh sb="13" eb="15">
      <t>ダンカイ</t>
    </rPh>
    <rPh sb="16" eb="18">
      <t>ゲンリョウ</t>
    </rPh>
    <rPh sb="18" eb="20">
      <t>キボ</t>
    </rPh>
    <rPh sb="26" eb="28">
      <t>リヨウ</t>
    </rPh>
    <rPh sb="33" eb="34">
      <t>キ</t>
    </rPh>
    <rPh sb="37" eb="39">
      <t>キホン</t>
    </rPh>
    <rPh sb="39" eb="41">
      <t>セッケイ</t>
    </rPh>
    <rPh sb="42" eb="43">
      <t>オコナ</t>
    </rPh>
    <rPh sb="45" eb="46">
      <t>サイ</t>
    </rPh>
    <rPh sb="47" eb="49">
      <t>メイカク</t>
    </rPh>
    <phoneticPr fontId="4"/>
  </si>
  <si>
    <t>　　　化することができる。</t>
    <phoneticPr fontId="5"/>
  </si>
  <si>
    <t>　・　特に畜産系バイオマスの場合は既存の処理設備を活用し初期投資額を抑える事例も存在する。　</t>
    <phoneticPr fontId="4"/>
  </si>
  <si>
    <t>　・　ただし、外部に供給する場合は農家等との合意形成に時間を要する他、液肥の性状・品質を安定化させ</t>
    <rPh sb="7" eb="9">
      <t>ガイブ</t>
    </rPh>
    <rPh sb="10" eb="12">
      <t>キョウキュウ</t>
    </rPh>
    <rPh sb="14" eb="16">
      <t>バアイ</t>
    </rPh>
    <rPh sb="17" eb="19">
      <t>ノウカ</t>
    </rPh>
    <rPh sb="19" eb="20">
      <t>ナド</t>
    </rPh>
    <rPh sb="22" eb="24">
      <t>ゴウイ</t>
    </rPh>
    <rPh sb="24" eb="26">
      <t>ケイセイ</t>
    </rPh>
    <rPh sb="27" eb="29">
      <t>ジカン</t>
    </rPh>
    <rPh sb="30" eb="31">
      <t>ヨウ</t>
    </rPh>
    <rPh sb="33" eb="34">
      <t>ホカ</t>
    </rPh>
    <rPh sb="35" eb="37">
      <t>エキヒ</t>
    </rPh>
    <rPh sb="38" eb="40">
      <t>セイジョウ</t>
    </rPh>
    <rPh sb="41" eb="43">
      <t>ヒンシツ</t>
    </rPh>
    <rPh sb="44" eb="47">
      <t>アンテイカ</t>
    </rPh>
    <phoneticPr fontId="5"/>
  </si>
  <si>
    <t>　　　る観点から、投入原料の厳格な管理が求められる。</t>
    <rPh sb="4" eb="6">
      <t>カンテン</t>
    </rPh>
    <rPh sb="9" eb="11">
      <t>トウニュウ</t>
    </rPh>
    <rPh sb="11" eb="13">
      <t>ゲンリョウ</t>
    </rPh>
    <rPh sb="14" eb="16">
      <t>ゲンカク</t>
    </rPh>
    <rPh sb="17" eb="19">
      <t>カンリ</t>
    </rPh>
    <rPh sb="20" eb="21">
      <t>モト</t>
    </rPh>
    <phoneticPr fontId="5"/>
  </si>
  <si>
    <t>　・　メタン発酵後の残渣（消化液）は有効な肥料成分が含まれているため、畜産系の事例では液肥として利</t>
    <rPh sb="6" eb="8">
      <t>ハッコウ</t>
    </rPh>
    <rPh sb="8" eb="9">
      <t>ゴ</t>
    </rPh>
    <rPh sb="10" eb="12">
      <t>ザンサ</t>
    </rPh>
    <rPh sb="13" eb="16">
      <t>ショウカエキ</t>
    </rPh>
    <rPh sb="18" eb="20">
      <t>ユウコウ</t>
    </rPh>
    <rPh sb="21" eb="23">
      <t>ヒリョウ</t>
    </rPh>
    <rPh sb="23" eb="25">
      <t>セイブン</t>
    </rPh>
    <rPh sb="26" eb="27">
      <t>フク</t>
    </rPh>
    <rPh sb="35" eb="38">
      <t>チクサンケイ</t>
    </rPh>
    <rPh sb="43" eb="45">
      <t>エキヒ</t>
    </rPh>
    <rPh sb="48" eb="49">
      <t>リ</t>
    </rPh>
    <phoneticPr fontId="4"/>
  </si>
  <si>
    <t>　　　用が進んでいる。</t>
    <rPh sb="3" eb="4">
      <t>ヨウ</t>
    </rPh>
    <rPh sb="5" eb="6">
      <t>スス</t>
    </rPh>
    <phoneticPr fontId="4"/>
  </si>
  <si>
    <t>　・　そのため特に食品廃棄物等の集中型の場合は液肥利用が困難な場合が多く、通常水処理となる。</t>
    <rPh sb="7" eb="8">
      <t>トク</t>
    </rPh>
    <rPh sb="9" eb="14">
      <t>ショクヒンハイキブツ</t>
    </rPh>
    <rPh sb="14" eb="15">
      <t>ナド</t>
    </rPh>
    <rPh sb="16" eb="19">
      <t>シュウチュウガタ</t>
    </rPh>
    <rPh sb="20" eb="22">
      <t>バアイ</t>
    </rPh>
    <rPh sb="23" eb="25">
      <t>エキヒ</t>
    </rPh>
    <rPh sb="25" eb="27">
      <t>リヨウ</t>
    </rPh>
    <rPh sb="28" eb="30">
      <t>コンナン</t>
    </rPh>
    <rPh sb="31" eb="33">
      <t>バアイ</t>
    </rPh>
    <rPh sb="34" eb="35">
      <t>オオ</t>
    </rPh>
    <rPh sb="37" eb="39">
      <t>ツウジョウ</t>
    </rPh>
    <rPh sb="39" eb="40">
      <t>ミズ</t>
    </rPh>
    <rPh sb="40" eb="42">
      <t>ショリ</t>
    </rPh>
    <phoneticPr fontId="4"/>
  </si>
  <si>
    <t>　・　水処理の場合は、放流先（河川、下水等）によって必要な処理の水準やコストが異なることに留意する。</t>
    <rPh sb="3" eb="6">
      <t>ミズショリ</t>
    </rPh>
    <rPh sb="7" eb="9">
      <t>バアイ</t>
    </rPh>
    <rPh sb="11" eb="13">
      <t>ホウリュウ</t>
    </rPh>
    <rPh sb="13" eb="14">
      <t>サキ</t>
    </rPh>
    <rPh sb="15" eb="17">
      <t>カセン</t>
    </rPh>
    <rPh sb="18" eb="20">
      <t>ゲスイ</t>
    </rPh>
    <rPh sb="20" eb="21">
      <t>ナド</t>
    </rPh>
    <rPh sb="26" eb="28">
      <t>ヒツヨウ</t>
    </rPh>
    <rPh sb="29" eb="31">
      <t>ショリ</t>
    </rPh>
    <rPh sb="32" eb="34">
      <t>スイジュン</t>
    </rPh>
    <rPh sb="39" eb="40">
      <t>コト</t>
    </rPh>
    <rPh sb="45" eb="47">
      <t>リュウイ</t>
    </rPh>
    <phoneticPr fontId="5"/>
  </si>
  <si>
    <t>　　　Point　廃棄物受入れ料金の想定を参照</t>
    <rPh sb="9" eb="12">
      <t>ハイキブツ</t>
    </rPh>
    <rPh sb="12" eb="14">
      <t>ウケイ</t>
    </rPh>
    <rPh sb="15" eb="17">
      <t>リョウキン</t>
    </rPh>
    <rPh sb="18" eb="20">
      <t>ソウテイ</t>
    </rPh>
    <rPh sb="21" eb="23">
      <t>サンショウ</t>
    </rPh>
    <phoneticPr fontId="5"/>
  </si>
  <si>
    <t>　・　特に食品廃棄物等の原料を利用する集中型メタン発酵事業の場合は、廃棄物受入収入が全体収入の</t>
    <rPh sb="3" eb="4">
      <t>トク</t>
    </rPh>
    <rPh sb="5" eb="10">
      <t>ショクヒンハイキブツ</t>
    </rPh>
    <rPh sb="10" eb="11">
      <t>ナド</t>
    </rPh>
    <rPh sb="12" eb="14">
      <t>ゲンリョウ</t>
    </rPh>
    <rPh sb="15" eb="17">
      <t>リヨウ</t>
    </rPh>
    <rPh sb="19" eb="22">
      <t>シュウチュウガタ</t>
    </rPh>
    <rPh sb="27" eb="29">
      <t>ジギョウ</t>
    </rPh>
    <rPh sb="30" eb="32">
      <t>バアイ</t>
    </rPh>
    <rPh sb="34" eb="37">
      <t>ハイキブツ</t>
    </rPh>
    <rPh sb="37" eb="39">
      <t>ウケイレ</t>
    </rPh>
    <rPh sb="39" eb="41">
      <t>シュウニュウ</t>
    </rPh>
    <rPh sb="42" eb="44">
      <t>ゼンタイ</t>
    </rPh>
    <rPh sb="44" eb="46">
      <t>シュウニュウ</t>
    </rPh>
    <phoneticPr fontId="4"/>
  </si>
  <si>
    <t>　　　大半を占めるため、処理手数料の設定は事業性に大きく影響する。</t>
    <rPh sb="3" eb="5">
      <t>タイハン</t>
    </rPh>
    <rPh sb="12" eb="14">
      <t>ショリ</t>
    </rPh>
    <rPh sb="14" eb="17">
      <t>テスウリョウ</t>
    </rPh>
    <rPh sb="18" eb="20">
      <t>セッテイ</t>
    </rPh>
    <rPh sb="21" eb="24">
      <t>ジギョウセイ</t>
    </rPh>
    <rPh sb="25" eb="26">
      <t>オオ</t>
    </rPh>
    <rPh sb="28" eb="30">
      <t>エイキョウ</t>
    </rPh>
    <phoneticPr fontId="5"/>
  </si>
  <si>
    <t>　・　排出者の既存の廃棄物処理コストおよび周辺地域の廃棄物処理・再生利用施設の有無も考慮して処理</t>
    <rPh sb="3" eb="5">
      <t>ハイシュツ</t>
    </rPh>
    <rPh sb="5" eb="6">
      <t>シャ</t>
    </rPh>
    <rPh sb="7" eb="9">
      <t>キゾン</t>
    </rPh>
    <rPh sb="10" eb="13">
      <t>ハイキブツ</t>
    </rPh>
    <rPh sb="13" eb="15">
      <t>ショリ</t>
    </rPh>
    <rPh sb="21" eb="25">
      <t>シュウヘンチイキ</t>
    </rPh>
    <rPh sb="26" eb="29">
      <t>ハイキブツ</t>
    </rPh>
    <rPh sb="29" eb="31">
      <t>ショリ</t>
    </rPh>
    <rPh sb="32" eb="34">
      <t>サイセイ</t>
    </rPh>
    <rPh sb="34" eb="36">
      <t>リヨウ</t>
    </rPh>
    <rPh sb="36" eb="38">
      <t>シセツ</t>
    </rPh>
    <rPh sb="39" eb="41">
      <t>ウム</t>
    </rPh>
    <rPh sb="46" eb="48">
      <t>ショリ</t>
    </rPh>
    <phoneticPr fontId="4"/>
  </si>
  <si>
    <t>　　　手数料を設定する必要がある。</t>
    <rPh sb="3" eb="6">
      <t>テスウリョウ</t>
    </rPh>
    <rPh sb="7" eb="9">
      <t>セッテイ</t>
    </rPh>
    <rPh sb="11" eb="13">
      <t>ヒツヨウ</t>
    </rPh>
    <phoneticPr fontId="4"/>
  </si>
  <si>
    <t>　・　エネルギー変換設備毎に法定点検頻度（通常数年に１回）や必要となるメンテナンス費用が異なる。</t>
    <rPh sb="8" eb="10">
      <t>ヘンカン</t>
    </rPh>
    <rPh sb="10" eb="12">
      <t>セツビ</t>
    </rPh>
    <rPh sb="12" eb="13">
      <t>マイ</t>
    </rPh>
    <rPh sb="14" eb="16">
      <t>ホウテイ</t>
    </rPh>
    <rPh sb="16" eb="18">
      <t>テンケン</t>
    </rPh>
    <rPh sb="18" eb="20">
      <t>ヒンド</t>
    </rPh>
    <rPh sb="21" eb="23">
      <t>ツウジョウ</t>
    </rPh>
    <rPh sb="23" eb="25">
      <t>スウネン</t>
    </rPh>
    <rPh sb="27" eb="28">
      <t>カイ</t>
    </rPh>
    <rPh sb="30" eb="32">
      <t>ヒツヨウ</t>
    </rPh>
    <rPh sb="41" eb="43">
      <t>ヒヨウ</t>
    </rPh>
    <rPh sb="44" eb="45">
      <t>コト</t>
    </rPh>
    <phoneticPr fontId="5"/>
  </si>
  <si>
    <t>　・　事業期間を通じてメンテナンス費用は増加するため詳細なキャッシュフロー分析の際には考慮が必要。</t>
    <rPh sb="3" eb="5">
      <t>ジギョウ</t>
    </rPh>
    <rPh sb="5" eb="7">
      <t>キカン</t>
    </rPh>
    <rPh sb="8" eb="9">
      <t>ツウ</t>
    </rPh>
    <rPh sb="17" eb="19">
      <t>ヒヨウ</t>
    </rPh>
    <rPh sb="20" eb="22">
      <t>ゾウカ</t>
    </rPh>
    <rPh sb="26" eb="28">
      <t>ショウサイ</t>
    </rPh>
    <rPh sb="37" eb="39">
      <t>ブンセキ</t>
    </rPh>
    <rPh sb="40" eb="41">
      <t>サイ</t>
    </rPh>
    <rPh sb="43" eb="45">
      <t>コウリョ</t>
    </rPh>
    <rPh sb="46" eb="48">
      <t>ヒツヨウ</t>
    </rPh>
    <phoneticPr fontId="5"/>
  </si>
  <si>
    <t>　・　設備の保守・メンテナンスをできる限り内製化することにより、維持管理費用を削減することができる。</t>
    <phoneticPr fontId="5"/>
  </si>
  <si>
    <t>　・　海外メーカーの場合は、運転トラブル対応や部品の交換が迅速に実施できないことがある。</t>
    <phoneticPr fontId="4"/>
  </si>
  <si>
    <t>Project-IRR（税引後）</t>
    <rPh sb="12" eb="14">
      <t>ゼイビ</t>
    </rPh>
    <rPh sb="14" eb="15">
      <t>ゴ</t>
    </rPh>
    <phoneticPr fontId="4"/>
  </si>
  <si>
    <t>　　STEP2で想定した設備費・工事費に地域内事業者への発注割合を乗算した額から、法人企業統計における営業利益の割合を乗算したもの。</t>
    <rPh sb="8" eb="10">
      <t>ソウテイ</t>
    </rPh>
    <rPh sb="12" eb="15">
      <t>セツビヒ</t>
    </rPh>
    <rPh sb="16" eb="19">
      <t>コウジヒ</t>
    </rPh>
    <rPh sb="20" eb="23">
      <t>チイキナイ</t>
    </rPh>
    <rPh sb="23" eb="26">
      <t>ジギョウシャ</t>
    </rPh>
    <rPh sb="28" eb="30">
      <t>ハッチュウ</t>
    </rPh>
    <rPh sb="30" eb="32">
      <t>ワリアイ</t>
    </rPh>
    <rPh sb="33" eb="35">
      <t>ジョウサン</t>
    </rPh>
    <rPh sb="37" eb="38">
      <t>ガク</t>
    </rPh>
    <rPh sb="41" eb="47">
      <t>ホウジンキギョウトウケイ</t>
    </rPh>
    <rPh sb="51" eb="55">
      <t>エイギョウリエキ</t>
    </rPh>
    <rPh sb="56" eb="58">
      <t>ワリアイ</t>
    </rPh>
    <rPh sb="59" eb="61">
      <t>ジョウサン</t>
    </rPh>
    <phoneticPr fontId="4"/>
  </si>
  <si>
    <t>　　STEP2で想定した人件費を除いた運転維持費に地域内事業者への発注割合を乗算した額から、法人企業統計における営業利益の割合を乗算したもの。</t>
    <rPh sb="8" eb="10">
      <t>ソウテイ</t>
    </rPh>
    <rPh sb="12" eb="15">
      <t>ジンケンヒ</t>
    </rPh>
    <rPh sb="16" eb="17">
      <t>ノゾ</t>
    </rPh>
    <rPh sb="19" eb="21">
      <t>ウンテン</t>
    </rPh>
    <rPh sb="21" eb="24">
      <t>イジヒ</t>
    </rPh>
    <rPh sb="25" eb="28">
      <t>チイキナイ</t>
    </rPh>
    <rPh sb="28" eb="31">
      <t>ジギョウシャ</t>
    </rPh>
    <rPh sb="33" eb="35">
      <t>ハッチュウ</t>
    </rPh>
    <rPh sb="35" eb="37">
      <t>ワリアイ</t>
    </rPh>
    <rPh sb="38" eb="40">
      <t>ジョウサン</t>
    </rPh>
    <rPh sb="42" eb="43">
      <t>ガク</t>
    </rPh>
    <rPh sb="46" eb="52">
      <t>ホウジンキギョウトウケイ</t>
    </rPh>
    <rPh sb="56" eb="60">
      <t>エイギョウリエキ</t>
    </rPh>
    <rPh sb="61" eb="63">
      <t>ワリアイ</t>
    </rPh>
    <rPh sb="64" eb="66">
      <t>ジョウサン</t>
    </rPh>
    <phoneticPr fontId="4"/>
  </si>
  <si>
    <t>　　STEP2で想定したバイオマス事業の人件費、初期投資費用・運転維持費に地域内事業者への発注割合を乗算した額から法人企業統計における人件費割合を</t>
    <rPh sb="8" eb="10">
      <t>ソウテイ</t>
    </rPh>
    <rPh sb="17" eb="19">
      <t>ジギョウ</t>
    </rPh>
    <rPh sb="20" eb="23">
      <t>ジンケンヒ</t>
    </rPh>
    <rPh sb="24" eb="28">
      <t>ショキトウシ</t>
    </rPh>
    <rPh sb="28" eb="30">
      <t>ヒヨウ</t>
    </rPh>
    <rPh sb="31" eb="33">
      <t>ウンテン</t>
    </rPh>
    <rPh sb="33" eb="35">
      <t>イジ</t>
    </rPh>
    <rPh sb="35" eb="36">
      <t>ヒ</t>
    </rPh>
    <rPh sb="57" eb="63">
      <t>ホウジンキギョウトウケイ</t>
    </rPh>
    <rPh sb="67" eb="70">
      <t>ジンケンヒ</t>
    </rPh>
    <rPh sb="70" eb="72">
      <t>ワリアイ</t>
    </rPh>
    <phoneticPr fontId="4"/>
  </si>
  <si>
    <t>　　乗算したものから所得税を減算したもの。他の再エネと比べ、通常バイオマス事業では原料の調達や保守管理において高い雇用効果が見込める。</t>
    <rPh sb="21" eb="22">
      <t>ホカ</t>
    </rPh>
    <rPh sb="23" eb="24">
      <t>サイ</t>
    </rPh>
    <rPh sb="27" eb="28">
      <t>クラ</t>
    </rPh>
    <rPh sb="30" eb="32">
      <t>ツウジョウ</t>
    </rPh>
    <rPh sb="37" eb="39">
      <t>ジギョウ</t>
    </rPh>
    <rPh sb="41" eb="43">
      <t>ゲンリョウ</t>
    </rPh>
    <rPh sb="44" eb="46">
      <t>チョウタツ</t>
    </rPh>
    <rPh sb="47" eb="49">
      <t>ホシュ</t>
    </rPh>
    <rPh sb="49" eb="51">
      <t>カンリ</t>
    </rPh>
    <rPh sb="55" eb="56">
      <t>タカ</t>
    </rPh>
    <rPh sb="57" eb="59">
      <t>コヨウ</t>
    </rPh>
    <rPh sb="59" eb="61">
      <t>コウカ</t>
    </rPh>
    <rPh sb="62" eb="64">
      <t>ミコ</t>
    </rPh>
    <phoneticPr fontId="4"/>
  </si>
  <si>
    <t>　　バイオマス事業・地域内事業者の営業利益・人件費から得られる法人税・所得税および固定資産税による自治体の収入。</t>
    <rPh sb="7" eb="9">
      <t>ジギョウ</t>
    </rPh>
    <rPh sb="10" eb="12">
      <t>チイキ</t>
    </rPh>
    <rPh sb="12" eb="13">
      <t>ナイ</t>
    </rPh>
    <rPh sb="13" eb="16">
      <t>ジギョウシャ</t>
    </rPh>
    <rPh sb="17" eb="21">
      <t>エイギョウリエキ</t>
    </rPh>
    <rPh sb="22" eb="25">
      <t>ジンケンヒ</t>
    </rPh>
    <rPh sb="24" eb="25">
      <t>ヒ</t>
    </rPh>
    <rPh sb="27" eb="28">
      <t>エ</t>
    </rPh>
    <rPh sb="31" eb="34">
      <t>ホウジンゼイ</t>
    </rPh>
    <rPh sb="35" eb="37">
      <t>ショトク</t>
    </rPh>
    <rPh sb="37" eb="38">
      <t>ゼイ</t>
    </rPh>
    <rPh sb="41" eb="45">
      <t>コテイシサン</t>
    </rPh>
    <rPh sb="45" eb="46">
      <t>ゼイ</t>
    </rPh>
    <rPh sb="49" eb="52">
      <t>ジチタイ</t>
    </rPh>
    <rPh sb="53" eb="55">
      <t>シュウニュウ</t>
    </rPh>
    <phoneticPr fontId="4"/>
  </si>
  <si>
    <t>　　バイオマス原料の提供者が得られるバイオマス事業開始前のバイオマス原料の売上と、事業開始後のバイオマス原料の売上の差分。</t>
    <rPh sb="7" eb="9">
      <t>ゲンリョウ</t>
    </rPh>
    <rPh sb="10" eb="12">
      <t>テイキョウ</t>
    </rPh>
    <rPh sb="12" eb="13">
      <t>シャ</t>
    </rPh>
    <rPh sb="14" eb="15">
      <t>エ</t>
    </rPh>
    <rPh sb="25" eb="28">
      <t>カイシマエ</t>
    </rPh>
    <rPh sb="34" eb="36">
      <t>ゲンリョウ</t>
    </rPh>
    <rPh sb="37" eb="39">
      <t>ウリアゲ</t>
    </rPh>
    <rPh sb="41" eb="45">
      <t>ジギョウカイシ</t>
    </rPh>
    <rPh sb="45" eb="46">
      <t>ゴ</t>
    </rPh>
    <rPh sb="52" eb="54">
      <t>ゲンリョウ</t>
    </rPh>
    <rPh sb="55" eb="57">
      <t>ウリアゲ</t>
    </rPh>
    <rPh sb="58" eb="60">
      <t>サブン</t>
    </rPh>
    <phoneticPr fontId="5"/>
  </si>
  <si>
    <t>　　バイオマス事業の開始前と比較して、開始後にエネルギー需要家が得られるエネルギー調達費用の削減効果。</t>
    <rPh sb="7" eb="9">
      <t>ジギョウ</t>
    </rPh>
    <rPh sb="10" eb="13">
      <t>カイシマエ</t>
    </rPh>
    <rPh sb="14" eb="16">
      <t>ヒカク</t>
    </rPh>
    <rPh sb="19" eb="21">
      <t>カイシ</t>
    </rPh>
    <rPh sb="21" eb="22">
      <t>ゴ</t>
    </rPh>
    <rPh sb="28" eb="31">
      <t>ジュヨウカ</t>
    </rPh>
    <rPh sb="32" eb="33">
      <t>エ</t>
    </rPh>
    <rPh sb="41" eb="43">
      <t>チョウタツ</t>
    </rPh>
    <rPh sb="43" eb="45">
      <t>ヒヨウ</t>
    </rPh>
    <rPh sb="46" eb="50">
      <t>サクゲンコウカ</t>
    </rPh>
    <phoneticPr fontId="4"/>
  </si>
  <si>
    <t>　※本ツールにおける地域経済性分析は、ツールとして一般化する関係上、全国大の法人企業統計や仮想値を使用しており、地域経済効果の算出は実態と異なる</t>
    <rPh sb="2" eb="3">
      <t>ホン</t>
    </rPh>
    <rPh sb="10" eb="14">
      <t>チイキケイザイ</t>
    </rPh>
    <rPh sb="14" eb="15">
      <t>セイ</t>
    </rPh>
    <rPh sb="15" eb="17">
      <t>ブンセキ</t>
    </rPh>
    <rPh sb="25" eb="28">
      <t>イッパンカ</t>
    </rPh>
    <rPh sb="30" eb="33">
      <t>カンケイジョウ</t>
    </rPh>
    <rPh sb="34" eb="36">
      <t>ゼンコク</t>
    </rPh>
    <rPh sb="36" eb="37">
      <t>ダイ</t>
    </rPh>
    <rPh sb="38" eb="42">
      <t>ホウジンキギョウ</t>
    </rPh>
    <rPh sb="42" eb="44">
      <t>トウケイ</t>
    </rPh>
    <rPh sb="45" eb="47">
      <t>カソウ</t>
    </rPh>
    <rPh sb="47" eb="48">
      <t>チ</t>
    </rPh>
    <rPh sb="49" eb="51">
      <t>シヨウ</t>
    </rPh>
    <rPh sb="56" eb="60">
      <t>チイキケイザイ</t>
    </rPh>
    <rPh sb="60" eb="62">
      <t>コウカ</t>
    </rPh>
    <rPh sb="63" eb="65">
      <t>サンシュツ</t>
    </rPh>
    <rPh sb="66" eb="68">
      <t>ジッタイ</t>
    </rPh>
    <rPh sb="69" eb="70">
      <t>コト</t>
    </rPh>
    <phoneticPr fontId="4"/>
  </si>
  <si>
    <t>　　　場合がある。</t>
    <rPh sb="3" eb="5">
      <t>バアイ</t>
    </rPh>
    <phoneticPr fontId="5"/>
  </si>
  <si>
    <t>　※想定する地域内にガス事業者や電気事業者、廃棄物事業者等が既に存在する場合、新規のバイオマス事業の開始によって既存事業者が影響を受ける可能性に</t>
    <phoneticPr fontId="4"/>
  </si>
  <si>
    <t>　　ついて確認が必要</t>
    <rPh sb="5" eb="7">
      <t>カクニン</t>
    </rPh>
    <rPh sb="8" eb="10">
      <t>ヒツヨウ</t>
    </rPh>
    <phoneticPr fontId="4"/>
  </si>
  <si>
    <t>]</t>
    <phoneticPr fontId="4"/>
  </si>
  <si>
    <t>地域経済性分析ツール（入門編、メタン発酵系バイオマス）</t>
    <rPh sb="0" eb="2">
      <t>チイキ</t>
    </rPh>
    <rPh sb="2" eb="5">
      <t>ケイザイセイ</t>
    </rPh>
    <rPh sb="5" eb="7">
      <t>ブンセキ</t>
    </rPh>
    <rPh sb="11" eb="14">
      <t>ニュウモンヘン</t>
    </rPh>
    <rPh sb="18" eb="20">
      <t>ハッコウ</t>
    </rPh>
    <rPh sb="20" eb="21">
      <t>ケイ</t>
    </rPh>
    <phoneticPr fontId="4"/>
  </si>
  <si>
    <t>また、本ツールの使用により発生した不具合に対して、NEDOは一切責任を負いません。不具合等発見された際には、問合せフォームからご連絡をお願いします。</t>
  </si>
  <si>
    <t>•本ツールの情報は、バイオマスエネルギー事業における諸活動を支援するため作成されたものになります。</t>
  </si>
  <si>
    <t>1.0</t>
    <phoneticPr fontId="4"/>
  </si>
  <si>
    <t>正式版としてリリースしました</t>
    <rPh sb="0" eb="3">
      <t>セイシキバン</t>
    </rPh>
    <phoneticPr fontId="4"/>
  </si>
  <si>
    <t>計算シートに揃える→</t>
    <rPh sb="0" eb="2">
      <t>ケイサン</t>
    </rPh>
    <rPh sb="6" eb="7">
      <t>ソロ</t>
    </rPh>
    <phoneticPr fontId="4"/>
  </si>
  <si>
    <t>　　地域内銀行借入金から得られる金融機関の利息収入のうち、事業利益と従業員所得となる金額。地域内の金融機関活用によって地域経済効果の上昇が可能。</t>
    <rPh sb="2" eb="5">
      <t>チイキナイ</t>
    </rPh>
    <rPh sb="5" eb="7">
      <t>ギンコウ</t>
    </rPh>
    <rPh sb="7" eb="9">
      <t>シャクニュウ</t>
    </rPh>
    <rPh sb="9" eb="10">
      <t>キン</t>
    </rPh>
    <rPh sb="12" eb="13">
      <t>エ</t>
    </rPh>
    <rPh sb="16" eb="20">
      <t>キン</t>
    </rPh>
    <rPh sb="21" eb="23">
      <t>リソク</t>
    </rPh>
    <rPh sb="23" eb="25">
      <t>シュウニュウ</t>
    </rPh>
    <rPh sb="29" eb="33">
      <t>ジギョウリエキ</t>
    </rPh>
    <rPh sb="34" eb="37">
      <t>ジュウギョウイン</t>
    </rPh>
    <rPh sb="37" eb="39">
      <t>ショトク</t>
    </rPh>
    <rPh sb="42" eb="44">
      <t>キンガク</t>
    </rPh>
    <rPh sb="45" eb="48">
      <t>チイキナイ</t>
    </rPh>
    <rPh sb="49" eb="53">
      <t>キンユウキカン</t>
    </rPh>
    <rPh sb="53" eb="55">
      <t>カツヨウ</t>
    </rPh>
    <rPh sb="59" eb="63">
      <t>チイキケイザイ</t>
    </rPh>
    <rPh sb="63" eb="65">
      <t>コウカ</t>
    </rPh>
    <rPh sb="66" eb="68">
      <t>ジョウショウ</t>
    </rPh>
    <rPh sb="69" eb="71">
      <t>カノウ</t>
    </rPh>
    <phoneticPr fontId="4"/>
  </si>
  <si>
    <t>固定資産税等</t>
    <rPh sb="0" eb="5">
      <t>コテイシサンゼイ</t>
    </rPh>
    <rPh sb="5" eb="6">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</si>
</sst>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0_ "/>
    <numFmt numFmtId="178" formatCode="0.0%"/>
    <numFmt numFmtId="179" formatCode="#,##0_ "/>
    <numFmt numFmtId="180" formatCode="#,##0_ ;[Red]\-#,##0\ "/>
    <numFmt numFmtId="181" formatCode="0.0"/>
    <numFmt numFmtId="182" formatCode="#,##0.000;[Red]\-#,##0.000"/>
  </numFmts>
  <fonts count="104" x14ac:knownFonts="1">
    <font>
      <sz val="11"/>
      <color theme="1"/>
      <name val="ＭＳ Ｐゴシック"/>
      <family val="3"/>
      <charset val="128"/>
      <scheme val="minor"/>
    </font>
    <font>
      <sz val="11"/>
      <color theme="1"/>
      <name val="ＭＳ Ｐゴシック"/>
      <family val="2"/>
      <charset val="128"/>
      <scheme val="minor"/>
    </font>
    <font>
      <sz val="10"/>
      <color theme="1"/>
      <name val="Arial"/>
      <family val="2"/>
    </font>
    <font>
      <sz val="10"/>
      <color theme="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10"/>
      <color indexed="8"/>
      <name val="Arial"/>
      <family val="2"/>
    </font>
    <font>
      <sz val="10"/>
      <color indexed="8"/>
      <name val="ＭＳ Ｐゴシック"/>
      <family val="3"/>
      <charset val="128"/>
    </font>
    <font>
      <sz val="10"/>
      <name val="ＭＳ Ｐゴシック"/>
      <family val="3"/>
      <charset val="128"/>
    </font>
    <font>
      <sz val="10"/>
      <name val="Arial"/>
      <family val="2"/>
    </font>
    <font>
      <sz val="10"/>
      <color theme="0"/>
      <name val="ＭＳ Ｐゴシック"/>
      <family val="3"/>
      <charset val="128"/>
    </font>
    <font>
      <sz val="10"/>
      <color theme="0"/>
      <name val="Arial"/>
      <family val="2"/>
    </font>
    <font>
      <b/>
      <sz val="10"/>
      <color theme="0"/>
      <name val="ＭＳ Ｐゴシック"/>
      <family val="3"/>
      <charset val="128"/>
    </font>
    <font>
      <b/>
      <sz val="10"/>
      <color theme="0"/>
      <name val="Arial"/>
      <family val="2"/>
    </font>
    <font>
      <b/>
      <sz val="9"/>
      <color indexed="81"/>
      <name val="ＭＳ Ｐゴシック"/>
      <family val="3"/>
      <charset val="128"/>
    </font>
    <font>
      <b/>
      <sz val="10"/>
      <name val="Arial"/>
      <family val="2"/>
    </font>
    <font>
      <b/>
      <sz val="10"/>
      <color indexed="37"/>
      <name val="Arial"/>
      <family val="2"/>
    </font>
    <font>
      <b/>
      <sz val="10"/>
      <name val="ＭＳ Ｐゴシック"/>
      <family val="3"/>
      <charset val="128"/>
    </font>
    <font>
      <sz val="10"/>
      <name val="HGPｺﾞｼｯｸE"/>
      <family val="3"/>
      <charset val="128"/>
    </font>
    <font>
      <sz val="10"/>
      <color rgb="FFFF0000"/>
      <name val="Arial"/>
      <family val="2"/>
    </font>
    <font>
      <b/>
      <sz val="11"/>
      <color theme="0"/>
      <name val="ＭＳ Ｐゴシック"/>
      <family val="3"/>
      <charset val="128"/>
      <scheme val="minor"/>
    </font>
    <font>
      <sz val="9"/>
      <color theme="1"/>
      <name val="ＭＳ Ｐゴシック"/>
      <family val="3"/>
      <charset val="128"/>
    </font>
    <font>
      <sz val="9"/>
      <color indexed="8"/>
      <name val="Arial"/>
      <family val="2"/>
    </font>
    <font>
      <sz val="9"/>
      <color theme="1"/>
      <name val="Arial"/>
      <family val="2"/>
    </font>
    <font>
      <b/>
      <sz val="12"/>
      <color indexed="8"/>
      <name val="ＭＳ Ｐゴシック"/>
      <family val="3"/>
      <charset val="128"/>
    </font>
    <font>
      <sz val="11"/>
      <color indexed="8"/>
      <name val="Arial"/>
      <family val="2"/>
    </font>
    <font>
      <b/>
      <sz val="10"/>
      <color theme="1"/>
      <name val="ＭＳ Ｐゴシック"/>
      <family val="3"/>
      <charset val="128"/>
      <scheme val="minor"/>
    </font>
    <font>
      <b/>
      <sz val="10"/>
      <color theme="1"/>
      <name val="ＭＳ Ｐゴシック"/>
      <family val="3"/>
      <charset val="128"/>
    </font>
    <font>
      <sz val="18"/>
      <color indexed="8"/>
      <name val="ＭＳ Ｐゴシック"/>
      <family val="3"/>
      <charset val="128"/>
    </font>
    <font>
      <b/>
      <sz val="10"/>
      <color theme="0"/>
      <name val="ＭＳ Ｐゴシック"/>
      <family val="3"/>
      <charset val="128"/>
      <scheme val="minor"/>
    </font>
    <font>
      <b/>
      <sz val="9"/>
      <color theme="0"/>
      <name val="ＭＳ Ｐゴシック"/>
      <family val="3"/>
      <charset val="128"/>
      <scheme val="minor"/>
    </font>
    <font>
      <b/>
      <sz val="9"/>
      <color theme="0"/>
      <name val="ＭＳ Ｐゴシック"/>
      <family val="3"/>
      <charset val="128"/>
    </font>
    <font>
      <sz val="14"/>
      <color indexed="8"/>
      <name val="ＭＳ Ｐゴシック"/>
      <family val="3"/>
      <charset val="128"/>
    </font>
    <font>
      <sz val="10"/>
      <color theme="1"/>
      <name val="ＭＳ Ｐゴシック"/>
      <family val="3"/>
      <charset val="128"/>
      <scheme val="minor"/>
    </font>
    <font>
      <sz val="9"/>
      <name val="ＭＳ Ｐゴシック"/>
      <family val="3"/>
      <charset val="128"/>
    </font>
    <font>
      <b/>
      <sz val="12"/>
      <color theme="0"/>
      <name val="ＭＳ Ｐゴシック"/>
      <family val="3"/>
      <charset val="128"/>
    </font>
    <font>
      <b/>
      <sz val="12"/>
      <color theme="0"/>
      <name val="Arial"/>
      <family val="2"/>
    </font>
    <font>
      <sz val="12"/>
      <color theme="1"/>
      <name val="ＭＳ Ｐゴシック"/>
      <family val="3"/>
      <charset val="128"/>
      <scheme val="minor"/>
    </font>
    <font>
      <sz val="12"/>
      <color indexed="8"/>
      <name val="ＭＳ Ｐゴシック"/>
      <family val="3"/>
      <charset val="128"/>
    </font>
    <font>
      <sz val="12"/>
      <name val="Arial"/>
      <family val="2"/>
    </font>
    <font>
      <sz val="12"/>
      <name val="ＭＳ Ｐゴシック"/>
      <family val="3"/>
      <charset val="128"/>
    </font>
    <font>
      <sz val="12"/>
      <color indexed="8"/>
      <name val="Arial"/>
      <family val="2"/>
    </font>
    <font>
      <sz val="12"/>
      <color theme="1"/>
      <name val="Arial"/>
      <family val="2"/>
    </font>
    <font>
      <sz val="12"/>
      <color theme="1"/>
      <name val="ＭＳ Ｐゴシック"/>
      <family val="3"/>
      <charset val="128"/>
    </font>
    <font>
      <sz val="9"/>
      <color theme="1"/>
      <name val="ＭＳ Ｐゴシック"/>
      <family val="3"/>
      <charset val="128"/>
      <scheme val="minor"/>
    </font>
    <font>
      <sz val="9"/>
      <name val="ＭＳ Ｐゴシック"/>
      <family val="3"/>
      <charset val="128"/>
      <scheme val="minor"/>
    </font>
    <font>
      <sz val="9"/>
      <color indexed="8"/>
      <name val="ＭＳ Ｐゴシック"/>
      <family val="3"/>
      <charset val="128"/>
    </font>
    <font>
      <sz val="9"/>
      <color theme="0"/>
      <name val="ＭＳ Ｐゴシック"/>
      <family val="3"/>
      <charset val="128"/>
    </font>
    <font>
      <sz val="9"/>
      <color rgb="FFFF0000"/>
      <name val="ＭＳ Ｐゴシック"/>
      <family val="3"/>
      <charset val="128"/>
    </font>
    <font>
      <sz val="9"/>
      <color rgb="FF000000"/>
      <name val="Calibri"/>
      <family val="2"/>
    </font>
    <font>
      <b/>
      <sz val="9"/>
      <name val="ＭＳ Ｐゴシック"/>
      <family val="3"/>
      <charset val="128"/>
    </font>
    <font>
      <b/>
      <sz val="9"/>
      <name val="Arial"/>
      <family val="2"/>
    </font>
    <font>
      <sz val="9"/>
      <color theme="0"/>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2"/>
      <scheme val="minor"/>
    </font>
    <font>
      <sz val="8"/>
      <color theme="1"/>
      <name val="Arial"/>
      <family val="2"/>
    </font>
    <font>
      <sz val="16"/>
      <color theme="0"/>
      <name val="Arial"/>
      <family val="2"/>
    </font>
    <font>
      <sz val="11"/>
      <color theme="0"/>
      <name val="ＭＳ Ｐゴシック"/>
      <family val="3"/>
      <charset val="128"/>
      <scheme val="minor"/>
    </font>
    <font>
      <b/>
      <sz val="18"/>
      <color theme="0"/>
      <name val="ＭＳ Ｐゴシック"/>
      <family val="3"/>
      <charset val="128"/>
    </font>
    <font>
      <sz val="14"/>
      <color theme="1"/>
      <name val="ＭＳ Ｐゴシック"/>
      <family val="3"/>
      <charset val="128"/>
    </font>
    <font>
      <b/>
      <sz val="12"/>
      <name val="ＭＳ Ｐゴシック"/>
      <family val="3"/>
      <charset val="128"/>
    </font>
    <font>
      <sz val="18"/>
      <color theme="1"/>
      <name val="ＭＳ Ｐゴシック"/>
      <family val="3"/>
      <charset val="128"/>
    </font>
    <font>
      <sz val="14"/>
      <color theme="1"/>
      <name val="ＭＳ Ｐゴシック"/>
      <family val="3"/>
      <charset val="128"/>
      <scheme val="minor"/>
    </font>
    <font>
      <b/>
      <sz val="16"/>
      <color theme="1"/>
      <name val="ＭＳ Ｐゴシック"/>
      <family val="3"/>
      <charset val="128"/>
      <scheme val="minor"/>
    </font>
    <font>
      <sz val="14"/>
      <color theme="1"/>
      <name val="Arial"/>
      <family val="2"/>
    </font>
    <font>
      <b/>
      <sz val="14"/>
      <color theme="0"/>
      <name val="ＭＳ Ｐゴシック"/>
      <family val="3"/>
      <charset val="128"/>
    </font>
    <font>
      <b/>
      <sz val="14"/>
      <color theme="0"/>
      <name val="Arial"/>
      <family val="2"/>
    </font>
    <font>
      <sz val="14"/>
      <color indexed="8"/>
      <name val="Arial"/>
      <family val="2"/>
    </font>
    <font>
      <sz val="14"/>
      <name val="ＭＳ Ｐゴシック"/>
      <family val="3"/>
      <charset val="128"/>
    </font>
    <font>
      <sz val="14"/>
      <name val="Arial"/>
      <family val="2"/>
    </font>
    <font>
      <sz val="16"/>
      <color theme="1"/>
      <name val="Arial"/>
      <family val="2"/>
    </font>
    <font>
      <b/>
      <sz val="16"/>
      <color theme="1"/>
      <name val="ＭＳ Ｐゴシック"/>
      <family val="3"/>
      <charset val="128"/>
    </font>
    <font>
      <sz val="16"/>
      <name val="Arial"/>
      <family val="2"/>
    </font>
    <font>
      <b/>
      <sz val="18"/>
      <color theme="1"/>
      <name val="ＭＳ Ｐゴシック"/>
      <family val="3"/>
      <charset val="128"/>
    </font>
    <font>
      <sz val="12"/>
      <color theme="0"/>
      <name val="ＭＳ Ｐゴシック"/>
      <family val="3"/>
      <charset val="128"/>
      <scheme val="minor"/>
    </font>
    <font>
      <sz val="11"/>
      <color theme="1"/>
      <name val="ＭＳ Ｐゴシック"/>
      <family val="3"/>
      <charset val="128"/>
    </font>
    <font>
      <sz val="11"/>
      <color theme="1"/>
      <name val="Arial"/>
      <family val="2"/>
    </font>
    <font>
      <b/>
      <sz val="16"/>
      <color theme="0"/>
      <name val="ＭＳ Ｐゴシック"/>
      <family val="3"/>
      <charset val="128"/>
    </font>
    <font>
      <b/>
      <sz val="24"/>
      <color theme="0"/>
      <name val="ＭＳ Ｐゴシック"/>
      <family val="3"/>
      <charset val="128"/>
      <scheme val="minor"/>
    </font>
    <font>
      <b/>
      <sz val="24"/>
      <color theme="0"/>
      <name val="ＭＳ Ｐゴシック"/>
      <family val="3"/>
      <charset val="128"/>
    </font>
    <font>
      <sz val="16"/>
      <color theme="1"/>
      <name val="ＭＳ Ｐゴシック"/>
      <family val="3"/>
      <charset val="128"/>
      <scheme val="minor"/>
    </font>
    <font>
      <sz val="16"/>
      <color theme="0"/>
      <name val="ＭＳ Ｐゴシック"/>
      <family val="3"/>
      <charset val="128"/>
      <scheme val="minor"/>
    </font>
    <font>
      <sz val="24"/>
      <color theme="1"/>
      <name val="ＭＳ Ｐゴシック"/>
      <family val="3"/>
      <charset val="128"/>
      <scheme val="minor"/>
    </font>
    <font>
      <sz val="11"/>
      <color rgb="FF0000FF"/>
      <name val="ＭＳ Ｐゴシック"/>
      <family val="3"/>
      <charset val="128"/>
      <scheme val="minor"/>
    </font>
    <font>
      <b/>
      <sz val="11"/>
      <color rgb="FFFF0000"/>
      <name val="ＭＳ Ｐゴシック"/>
      <family val="3"/>
      <charset val="128"/>
      <scheme val="minor"/>
    </font>
    <font>
      <sz val="16"/>
      <color theme="0" tint="-0.34998626667073579"/>
      <name val="Arial"/>
      <family val="2"/>
    </font>
    <font>
      <sz val="16"/>
      <color theme="0" tint="-0.34998626667073579"/>
      <name val="ＭＳ Ｐゴシック"/>
      <family val="3"/>
      <charset val="128"/>
    </font>
    <font>
      <sz val="11"/>
      <color theme="0" tint="-0.34998626667073579"/>
      <name val="ＭＳ Ｐゴシック"/>
      <family val="3"/>
      <charset val="128"/>
      <scheme val="minor"/>
    </font>
    <font>
      <sz val="10"/>
      <color theme="0" tint="-0.34998626667073579"/>
      <name val="Arial"/>
      <family val="2"/>
    </font>
    <font>
      <b/>
      <sz val="11"/>
      <color theme="0" tint="-0.34998626667073579"/>
      <name val="ＭＳ Ｐゴシック"/>
      <family val="3"/>
      <charset val="128"/>
      <scheme val="minor"/>
    </font>
    <font>
      <sz val="10"/>
      <color theme="0" tint="-0.34998626667073579"/>
      <name val="ＭＳ Ｐゴシック"/>
      <family val="3"/>
      <charset val="128"/>
    </font>
    <font>
      <sz val="9"/>
      <color theme="0" tint="-0.34998626667073579"/>
      <name val="Arial Unicode MS"/>
      <family val="3"/>
      <charset val="128"/>
    </font>
    <font>
      <b/>
      <sz val="10"/>
      <color theme="0" tint="-0.34998626667073579"/>
      <name val="ＭＳ Ｐゴシック"/>
      <family val="3"/>
      <charset val="128"/>
    </font>
    <font>
      <sz val="9"/>
      <color theme="0" tint="-0.34998626667073579"/>
      <name val="ＭＳ Ｐゴシック"/>
      <family val="3"/>
      <charset val="128"/>
    </font>
    <font>
      <b/>
      <sz val="10"/>
      <color theme="0" tint="-0.34998626667073579"/>
      <name val="ＭＳ Ｐゴシック"/>
      <family val="3"/>
      <charset val="128"/>
      <scheme val="minor"/>
    </font>
    <font>
      <b/>
      <sz val="11"/>
      <name val="ＭＳ Ｐゴシック"/>
      <family val="3"/>
      <charset val="128"/>
      <scheme val="minor"/>
    </font>
    <font>
      <sz val="10"/>
      <color theme="0" tint="-0.34998626667073579"/>
      <name val="ＭＳ Ｐゴシック"/>
      <family val="3"/>
      <charset val="128"/>
      <scheme val="minor"/>
    </font>
    <font>
      <u/>
      <sz val="11"/>
      <color theme="10"/>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s>
  <fills count="2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indexed="41"/>
        <bgColor indexed="64"/>
      </patternFill>
    </fill>
    <fill>
      <patternFill patternType="solid">
        <fgColor rgb="FFB7ECFF"/>
        <bgColor indexed="64"/>
      </patternFill>
    </fill>
    <fill>
      <patternFill patternType="solid">
        <fgColor theme="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indexed="31"/>
        <bgColor indexed="64"/>
      </patternFill>
    </fill>
    <fill>
      <patternFill patternType="solid">
        <fgColor rgb="FF002060"/>
        <bgColor indexed="64"/>
      </patternFill>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bgColor indexed="64"/>
      </patternFill>
    </fill>
  </fills>
  <borders count="29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23"/>
      </bottom>
      <diagonal/>
    </border>
    <border>
      <left style="thin">
        <color indexed="64"/>
      </left>
      <right style="thin">
        <color indexed="64"/>
      </right>
      <top style="medium">
        <color indexed="64"/>
      </top>
      <bottom style="thin">
        <color indexed="23"/>
      </bottom>
      <diagonal/>
    </border>
    <border>
      <left style="medium">
        <color indexed="64"/>
      </left>
      <right/>
      <top style="thin">
        <color indexed="23"/>
      </top>
      <bottom style="thin">
        <color indexed="23"/>
      </bottom>
      <diagonal/>
    </border>
    <border>
      <left/>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medium">
        <color indexed="64"/>
      </left>
      <right/>
      <top/>
      <bottom style="thin">
        <color indexed="23"/>
      </bottom>
      <diagonal/>
    </border>
    <border>
      <left/>
      <right/>
      <top/>
      <bottom style="thin">
        <color indexed="23"/>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23"/>
      </top>
      <bottom style="medium">
        <color indexed="64"/>
      </bottom>
      <diagonal/>
    </border>
    <border>
      <left/>
      <right/>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indexed="23"/>
      </top>
      <bottom style="thin">
        <color theme="1" tint="0.499984740745262"/>
      </bottom>
      <diagonal/>
    </border>
    <border>
      <left/>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23"/>
      </top>
      <bottom style="thin">
        <color theme="0" tint="-0.499984740745262"/>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theme="0" tint="-0.499984740745262"/>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medium">
        <color indexed="64"/>
      </left>
      <right style="thin">
        <color indexed="64"/>
      </right>
      <top style="thin">
        <color indexed="23"/>
      </top>
      <bottom style="medium">
        <color indexed="64"/>
      </bottom>
      <diagonal/>
    </border>
    <border>
      <left style="double">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theme="0" tint="-0.499984740745262"/>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23"/>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double">
        <color indexed="64"/>
      </right>
      <top style="medium">
        <color indexed="64"/>
      </top>
      <bottom style="hair">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top/>
      <bottom style="hair">
        <color indexed="64"/>
      </bottom>
      <diagonal/>
    </border>
    <border>
      <left style="double">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thin">
        <color indexed="23"/>
      </right>
      <top style="thin">
        <color indexed="23"/>
      </top>
      <bottom style="thin">
        <color indexed="23"/>
      </bottom>
      <diagonal/>
    </border>
    <border>
      <left style="medium">
        <color indexed="64"/>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right style="medium">
        <color indexed="64"/>
      </right>
      <top style="hair">
        <color indexed="64"/>
      </top>
      <bottom style="dotted">
        <color indexed="64"/>
      </bottom>
      <diagonal/>
    </border>
    <border>
      <left style="medium">
        <color indexed="64"/>
      </left>
      <right style="thin">
        <color indexed="64"/>
      </right>
      <top style="thin">
        <color indexed="64"/>
      </top>
      <bottom/>
      <diagonal/>
    </border>
    <border>
      <left/>
      <right style="thin">
        <color indexed="64"/>
      </right>
      <top style="thin">
        <color theme="0" tint="-0.499984740745262"/>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theme="0"/>
      </left>
      <right/>
      <top/>
      <bottom/>
      <diagonal/>
    </border>
    <border>
      <left/>
      <right/>
      <top/>
      <bottom style="double">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auto="1"/>
      </top>
      <bottom style="thin">
        <color theme="0"/>
      </bottom>
      <diagonal/>
    </border>
    <border>
      <left style="thin">
        <color theme="0"/>
      </left>
      <right/>
      <top style="thin">
        <color theme="0"/>
      </top>
      <bottom/>
      <diagonal/>
    </border>
    <border>
      <left style="thin">
        <color theme="0"/>
      </left>
      <right/>
      <top style="dashed">
        <color auto="1"/>
      </top>
      <bottom style="thin">
        <color theme="0"/>
      </bottom>
      <diagonal/>
    </border>
    <border>
      <left/>
      <right style="thin">
        <color theme="0"/>
      </right>
      <top style="dashed">
        <color auto="1"/>
      </top>
      <bottom style="thin">
        <color theme="0"/>
      </bottom>
      <diagonal/>
    </border>
    <border>
      <left style="thin">
        <color theme="0"/>
      </left>
      <right style="thin">
        <color theme="0"/>
      </right>
      <top/>
      <bottom/>
      <diagonal/>
    </border>
    <border>
      <left style="thin">
        <color theme="0"/>
      </left>
      <right style="thin">
        <color theme="0"/>
      </right>
      <top style="dashed">
        <color auto="1"/>
      </top>
      <bottom/>
      <diagonal/>
    </border>
    <border>
      <left style="thin">
        <color theme="0"/>
      </left>
      <right style="thin">
        <color theme="0"/>
      </right>
      <top style="dashed">
        <color auto="1"/>
      </top>
      <bottom style="dashed">
        <color auto="1"/>
      </bottom>
      <diagonal/>
    </border>
    <border>
      <left style="thin">
        <color theme="0"/>
      </left>
      <right style="thin">
        <color theme="0"/>
      </right>
      <top/>
      <bottom style="dashed">
        <color auto="1"/>
      </bottom>
      <diagonal/>
    </border>
    <border>
      <left/>
      <right style="double">
        <color indexed="64"/>
      </right>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theme="0"/>
      </left>
      <right style="thin">
        <color theme="0"/>
      </right>
      <top style="thin">
        <color theme="0"/>
      </top>
      <bottom style="dashed">
        <color auto="1"/>
      </bottom>
      <diagonal/>
    </border>
    <border>
      <left style="thin">
        <color indexed="64"/>
      </left>
      <right style="thin">
        <color indexed="64"/>
      </right>
      <top style="thin">
        <color theme="0" tint="-0.499984740745262"/>
      </top>
      <bottom style="thin">
        <color indexed="64"/>
      </bottom>
      <diagonal/>
    </border>
    <border>
      <left style="medium">
        <color indexed="64"/>
      </left>
      <right/>
      <top style="thin">
        <color indexed="23"/>
      </top>
      <bottom style="thin">
        <color indexed="23"/>
      </bottom>
      <diagonal/>
    </border>
    <border>
      <left/>
      <right/>
      <top style="thin">
        <color indexed="23"/>
      </top>
      <bottom style="thin">
        <color indexed="23"/>
      </bottom>
      <diagonal/>
    </border>
    <border>
      <left style="medium">
        <color indexed="64"/>
      </left>
      <right/>
      <top style="thin">
        <color indexed="23"/>
      </top>
      <bottom style="medium">
        <color indexed="64"/>
      </bottom>
      <diagonal/>
    </border>
    <border>
      <left/>
      <right/>
      <top style="thin">
        <color indexed="23"/>
      </top>
      <bottom style="medium">
        <color indexed="64"/>
      </bottom>
      <diagonal/>
    </border>
    <border>
      <left/>
      <right style="medium">
        <color indexed="64"/>
      </right>
      <top style="thin">
        <color indexed="23"/>
      </top>
      <bottom style="medium">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double">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style="double">
        <color indexed="64"/>
      </left>
      <right style="medium">
        <color indexed="64"/>
      </right>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right style="medium">
        <color indexed="64"/>
      </right>
      <top/>
      <bottom style="thin">
        <color theme="0" tint="-0.499984740745262"/>
      </bottom>
      <diagonal/>
    </border>
    <border>
      <left/>
      <right style="medium">
        <color indexed="64"/>
      </right>
      <top style="thin">
        <color indexed="23"/>
      </top>
      <bottom style="thin">
        <color theme="0" tint="-0.499984740745262"/>
      </bottom>
      <diagonal/>
    </border>
    <border>
      <left/>
      <right style="medium">
        <color indexed="64"/>
      </right>
      <top style="medium">
        <color indexed="64"/>
      </top>
      <bottom style="thin">
        <color indexed="23"/>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bottom style="thin">
        <color theme="0" tint="-0.499984740745262"/>
      </bottom>
      <diagonal/>
    </border>
    <border>
      <left style="thin">
        <color indexed="64"/>
      </left>
      <right/>
      <top style="thin">
        <color indexed="23"/>
      </top>
      <bottom style="thin">
        <color indexed="23"/>
      </bottom>
      <diagonal/>
    </border>
    <border>
      <left/>
      <right/>
      <top style="thin">
        <color indexed="23"/>
      </top>
      <bottom/>
      <diagonal/>
    </border>
    <border>
      <left style="medium">
        <color indexed="64"/>
      </left>
      <right/>
      <top style="medium">
        <color indexed="64"/>
      </top>
      <bottom style="thin">
        <color indexed="23"/>
      </bottom>
      <diagonal/>
    </border>
    <border>
      <left/>
      <right style="medium">
        <color indexed="64"/>
      </right>
      <top style="thin">
        <color indexed="64"/>
      </top>
      <bottom style="thin">
        <color indexed="23"/>
      </bottom>
      <diagonal/>
    </border>
    <border>
      <left/>
      <right/>
      <top style="thin">
        <color indexed="64"/>
      </top>
      <bottom style="thin">
        <color indexed="23"/>
      </bottom>
      <diagonal/>
    </border>
    <border>
      <left/>
      <right style="medium">
        <color indexed="64"/>
      </right>
      <top style="thin">
        <color indexed="23"/>
      </top>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thin">
        <color indexed="64"/>
      </left>
      <right style="thin">
        <color indexed="64"/>
      </right>
      <top style="thin">
        <color theme="0" tint="-0.499984740745262"/>
      </top>
      <bottom style="thin">
        <color theme="0" tint="-0.34998626667073579"/>
      </bottom>
      <diagonal/>
    </border>
    <border>
      <left style="thin">
        <color indexed="64"/>
      </left>
      <right style="thin">
        <color indexed="64"/>
      </right>
      <top style="thin">
        <color theme="0" tint="-0.34998626667073579"/>
      </top>
      <bottom style="thin">
        <color indexed="23"/>
      </bottom>
      <diagonal/>
    </border>
    <border>
      <left/>
      <right style="thin">
        <color indexed="64"/>
      </right>
      <top style="thin">
        <color theme="0" tint="-0.499984740745262"/>
      </top>
      <bottom/>
      <diagonal/>
    </border>
    <border>
      <left style="thin">
        <color indexed="64"/>
      </left>
      <right/>
      <top style="medium">
        <color indexed="64"/>
      </top>
      <bottom style="thin">
        <color indexed="23"/>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medium">
        <color indexed="64"/>
      </top>
      <bottom/>
      <diagonal/>
    </border>
    <border>
      <left style="medium">
        <color indexed="64"/>
      </left>
      <right/>
      <top style="thin">
        <color indexed="23"/>
      </top>
      <bottom/>
      <diagonal/>
    </border>
    <border>
      <left style="medium">
        <color indexed="64"/>
      </left>
      <right/>
      <top/>
      <bottom style="thin">
        <color theme="0" tint="-0.499984740745262"/>
      </bottom>
      <diagonal/>
    </border>
    <border>
      <left style="medium">
        <color indexed="64"/>
      </left>
      <right/>
      <top style="thin">
        <color theme="0" tint="-0.499984740745262"/>
      </top>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499984740745262"/>
      </top>
      <bottom style="thin">
        <color theme="0" tint="-0.34998626667073579"/>
      </bottom>
      <diagonal/>
    </border>
    <border>
      <left style="thin">
        <color indexed="64"/>
      </left>
      <right style="medium">
        <color indexed="64"/>
      </right>
      <top style="thin">
        <color theme="0" tint="-0.499984740745262"/>
      </top>
      <bottom style="thin">
        <color theme="0" tint="-0.34998626667073579"/>
      </bottom>
      <diagonal/>
    </border>
    <border>
      <left style="medium">
        <color indexed="64"/>
      </left>
      <right style="thin">
        <color indexed="64"/>
      </right>
      <top style="thin">
        <color theme="0" tint="-0.34998626667073579"/>
      </top>
      <bottom style="thin">
        <color indexed="23"/>
      </bottom>
      <diagonal/>
    </border>
    <border>
      <left style="thin">
        <color indexed="64"/>
      </left>
      <right style="medium">
        <color indexed="64"/>
      </right>
      <top style="thin">
        <color theme="0" tint="-0.34998626667073579"/>
      </top>
      <bottom style="thin">
        <color indexed="23"/>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right/>
      <top/>
      <bottom style="thin">
        <color auto="1"/>
      </bottom>
      <diagonal/>
    </border>
    <border>
      <left/>
      <right style="medium">
        <color auto="1"/>
      </right>
      <top/>
      <bottom style="thin">
        <color auto="1"/>
      </bottom>
      <diagonal/>
    </border>
    <border>
      <left style="medium">
        <color indexed="64"/>
      </left>
      <right/>
      <top style="thin">
        <color indexed="23"/>
      </top>
      <bottom style="thin">
        <color indexed="23"/>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23"/>
      </top>
      <bottom style="medium">
        <color indexed="64"/>
      </bottom>
      <diagonal/>
    </border>
    <border>
      <left/>
      <right/>
      <top style="thin">
        <color indexed="23"/>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hair">
        <color auto="1"/>
      </left>
      <right/>
      <top/>
      <bottom style="thin">
        <color auto="1"/>
      </bottom>
      <diagonal/>
    </border>
    <border>
      <left style="hair">
        <color auto="1"/>
      </left>
      <right/>
      <top style="thin">
        <color indexed="64"/>
      </top>
      <bottom style="medium">
        <color auto="1"/>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auto="1"/>
      </top>
      <bottom style="thin">
        <color auto="1"/>
      </bottom>
      <diagonal/>
    </border>
    <border>
      <left/>
      <right/>
      <top style="thin">
        <color auto="1"/>
      </top>
      <bottom style="medium">
        <color auto="1"/>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style="thin">
        <color indexed="23"/>
      </top>
      <bottom style="medium">
        <color indexed="64"/>
      </bottom>
      <diagonal/>
    </border>
    <border>
      <left/>
      <right style="hair">
        <color indexed="64"/>
      </right>
      <top/>
      <bottom style="medium">
        <color indexed="64"/>
      </bottom>
      <diagonal/>
    </border>
    <border>
      <left style="medium">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6" fillId="0" borderId="0"/>
    <xf numFmtId="0" fontId="35" fillId="0" borderId="0">
      <alignment vertical="center"/>
    </xf>
    <xf numFmtId="0" fontId="35" fillId="0" borderId="0">
      <alignment vertical="center"/>
    </xf>
    <xf numFmtId="9" fontId="35" fillId="0" borderId="0" applyFont="0" applyFill="0" applyBorder="0" applyAlignment="0" applyProtection="0">
      <alignment vertical="center"/>
    </xf>
    <xf numFmtId="0" fontId="99" fillId="0" borderId="0" applyNumberFormat="0" applyFill="0" applyBorder="0" applyAlignment="0" applyProtection="0">
      <alignment vertical="center"/>
    </xf>
  </cellStyleXfs>
  <cellXfs count="1354">
    <xf numFmtId="0" fontId="0" fillId="0" borderId="0" xfId="0">
      <alignment vertical="center"/>
    </xf>
    <xf numFmtId="0" fontId="2" fillId="0" borderId="0" xfId="0" applyFont="1">
      <alignment vertical="center"/>
    </xf>
    <xf numFmtId="0" fontId="7" fillId="0" borderId="0" xfId="0" applyFont="1">
      <alignment vertical="center"/>
    </xf>
    <xf numFmtId="0" fontId="10" fillId="0" borderId="0" xfId="0" applyFont="1">
      <alignment vertical="center"/>
    </xf>
    <xf numFmtId="179" fontId="2" fillId="0" borderId="0" xfId="0" applyNumberFormat="1" applyFont="1" applyAlignment="1"/>
    <xf numFmtId="0" fontId="3" fillId="0" borderId="0" xfId="0" applyFont="1" applyAlignment="1"/>
    <xf numFmtId="0" fontId="16" fillId="0" borderId="0" xfId="0" applyFont="1" applyAlignment="1"/>
    <xf numFmtId="179" fontId="2" fillId="0" borderId="0" xfId="0" applyNumberFormat="1" applyFont="1" applyBorder="1" applyAlignment="1">
      <alignment horizontal="center"/>
    </xf>
    <xf numFmtId="179" fontId="17" fillId="0" borderId="0" xfId="0" applyNumberFormat="1" applyFont="1" applyBorder="1" applyAlignment="1">
      <alignment horizontal="left"/>
    </xf>
    <xf numFmtId="179" fontId="2" fillId="0" borderId="0" xfId="0" applyNumberFormat="1" applyFont="1" applyBorder="1" applyAlignment="1">
      <alignment horizontal="left"/>
    </xf>
    <xf numFmtId="0" fontId="2" fillId="0" borderId="0" xfId="0" applyFont="1" applyAlignment="1"/>
    <xf numFmtId="0" fontId="2" fillId="0" borderId="40" xfId="3" applyNumberFormat="1" applyFont="1" applyBorder="1" applyAlignment="1">
      <alignment horizontal="center"/>
    </xf>
    <xf numFmtId="0" fontId="2" fillId="0" borderId="41" xfId="3" applyNumberFormat="1" applyFont="1" applyBorder="1" applyAlignment="1">
      <alignment horizontal="center"/>
    </xf>
    <xf numFmtId="0" fontId="2" fillId="0" borderId="42" xfId="0" applyFont="1" applyFill="1" applyBorder="1" applyAlignment="1"/>
    <xf numFmtId="0" fontId="2" fillId="0" borderId="43" xfId="0" applyFont="1" applyFill="1" applyBorder="1" applyAlignment="1"/>
    <xf numFmtId="0" fontId="3" fillId="0" borderId="42" xfId="0" applyFont="1" applyFill="1" applyBorder="1" applyAlignment="1"/>
    <xf numFmtId="38" fontId="2" fillId="0" borderId="0" xfId="1" applyFont="1" applyAlignment="1"/>
    <xf numFmtId="176" fontId="2" fillId="0" borderId="1" xfId="3" applyNumberFormat="1" applyFont="1" applyBorder="1" applyAlignment="1">
      <alignment horizontal="right"/>
    </xf>
    <xf numFmtId="38" fontId="2" fillId="0" borderId="43" xfId="0" applyNumberFormat="1" applyFont="1" applyFill="1" applyBorder="1" applyAlignment="1"/>
    <xf numFmtId="0" fontId="2" fillId="0" borderId="0" xfId="0" applyFont="1" applyBorder="1" applyAlignment="1"/>
    <xf numFmtId="38" fontId="2" fillId="0" borderId="0" xfId="0" applyNumberFormat="1" applyFont="1" applyAlignment="1"/>
    <xf numFmtId="0" fontId="2" fillId="0" borderId="0" xfId="0" applyFont="1" applyFill="1" applyAlignment="1"/>
    <xf numFmtId="0" fontId="2" fillId="0" borderId="36" xfId="0" applyFont="1" applyFill="1" applyBorder="1" applyAlignment="1"/>
    <xf numFmtId="0" fontId="2" fillId="0" borderId="36" xfId="3" applyNumberFormat="1" applyFont="1" applyBorder="1" applyAlignment="1">
      <alignment horizontal="center"/>
    </xf>
    <xf numFmtId="0" fontId="2" fillId="0" borderId="0" xfId="3" applyNumberFormat="1" applyFont="1" applyBorder="1" applyAlignment="1">
      <alignment horizontal="center"/>
    </xf>
    <xf numFmtId="0" fontId="2" fillId="4" borderId="35" xfId="0" applyFont="1" applyFill="1" applyBorder="1" applyAlignment="1">
      <alignment horizontal="center"/>
    </xf>
    <xf numFmtId="0" fontId="2" fillId="4" borderId="38" xfId="0" applyFont="1" applyFill="1" applyBorder="1" applyAlignment="1">
      <alignment horizontal="center"/>
    </xf>
    <xf numFmtId="179" fontId="2" fillId="4" borderId="46" xfId="0" applyNumberFormat="1" applyFont="1" applyFill="1" applyBorder="1" applyAlignment="1">
      <alignment horizontal="center"/>
    </xf>
    <xf numFmtId="179" fontId="2" fillId="4" borderId="37" xfId="0" applyNumberFormat="1" applyFont="1" applyFill="1" applyBorder="1" applyAlignment="1">
      <alignment horizontal="center"/>
    </xf>
    <xf numFmtId="179" fontId="2" fillId="4" borderId="47" xfId="0" applyNumberFormat="1" applyFont="1" applyFill="1" applyBorder="1" applyAlignment="1">
      <alignment horizontal="center"/>
    </xf>
    <xf numFmtId="0" fontId="16" fillId="5" borderId="48" xfId="0" applyFont="1" applyFill="1" applyBorder="1" applyAlignment="1"/>
    <xf numFmtId="180" fontId="2" fillId="5" borderId="0" xfId="0" applyNumberFormat="1" applyFont="1" applyFill="1" applyBorder="1" applyAlignment="1">
      <alignment horizontal="center"/>
    </xf>
    <xf numFmtId="180" fontId="2" fillId="5" borderId="6" xfId="0" applyNumberFormat="1" applyFont="1" applyFill="1" applyBorder="1" applyAlignment="1">
      <alignment horizontal="center"/>
    </xf>
    <xf numFmtId="180" fontId="2" fillId="5" borderId="49" xfId="0" applyNumberFormat="1" applyFont="1" applyFill="1" applyBorder="1" applyAlignment="1">
      <alignment horizontal="center"/>
    </xf>
    <xf numFmtId="180" fontId="2" fillId="5" borderId="50" xfId="0" applyNumberFormat="1" applyFont="1" applyFill="1" applyBorder="1" applyAlignment="1">
      <alignment horizontal="center"/>
    </xf>
    <xf numFmtId="180" fontId="2" fillId="5" borderId="51" xfId="0" applyNumberFormat="1" applyFont="1" applyFill="1" applyBorder="1" applyAlignment="1">
      <alignment horizontal="center"/>
    </xf>
    <xf numFmtId="0" fontId="2" fillId="0" borderId="53" xfId="0" applyFont="1" applyBorder="1" applyAlignment="1"/>
    <xf numFmtId="38" fontId="7" fillId="0" borderId="54" xfId="1" applyFont="1" applyBorder="1">
      <alignment vertical="center"/>
    </xf>
    <xf numFmtId="180" fontId="2" fillId="0" borderId="56" xfId="0" applyNumberFormat="1" applyFont="1" applyBorder="1" applyAlignment="1"/>
    <xf numFmtId="180" fontId="2" fillId="0" borderId="57" xfId="0" applyNumberFormat="1" applyFont="1" applyBorder="1" applyAlignment="1"/>
    <xf numFmtId="0" fontId="12" fillId="3" borderId="58" xfId="0" applyFont="1" applyFill="1" applyBorder="1" applyAlignment="1"/>
    <xf numFmtId="0" fontId="12" fillId="3" borderId="59" xfId="0" applyFont="1" applyFill="1" applyBorder="1" applyAlignment="1"/>
    <xf numFmtId="38" fontId="12" fillId="3" borderId="42" xfId="1" applyFont="1" applyFill="1" applyBorder="1">
      <alignment vertical="center"/>
    </xf>
    <xf numFmtId="180" fontId="12" fillId="3" borderId="60" xfId="0" applyNumberFormat="1" applyFont="1" applyFill="1" applyBorder="1" applyAlignment="1"/>
    <xf numFmtId="0" fontId="3" fillId="6" borderId="52" xfId="0" applyFont="1" applyFill="1" applyBorder="1" applyAlignment="1"/>
    <xf numFmtId="0" fontId="2" fillId="6" borderId="53" xfId="0" applyFont="1" applyFill="1" applyBorder="1" applyAlignment="1"/>
    <xf numFmtId="180" fontId="2" fillId="6" borderId="55" xfId="0" applyNumberFormat="1" applyFont="1" applyFill="1" applyBorder="1" applyAlignment="1"/>
    <xf numFmtId="180" fontId="2" fillId="6" borderId="57" xfId="0" applyNumberFormat="1" applyFont="1" applyFill="1" applyBorder="1" applyAlignment="1"/>
    <xf numFmtId="38" fontId="7" fillId="0" borderId="15" xfId="1" applyFont="1" applyBorder="1">
      <alignment vertical="center"/>
    </xf>
    <xf numFmtId="180" fontId="2" fillId="0" borderId="61" xfId="0" applyNumberFormat="1" applyFont="1" applyFill="1" applyBorder="1" applyAlignment="1"/>
    <xf numFmtId="180" fontId="2" fillId="0" borderId="56" xfId="0" applyNumberFormat="1" applyFont="1" applyFill="1" applyBorder="1" applyAlignment="1"/>
    <xf numFmtId="180" fontId="2" fillId="0" borderId="57" xfId="0" applyNumberFormat="1" applyFont="1" applyFill="1" applyBorder="1" applyAlignment="1"/>
    <xf numFmtId="38" fontId="7" fillId="0" borderId="62" xfId="1" applyFont="1" applyBorder="1">
      <alignment vertical="center"/>
    </xf>
    <xf numFmtId="0" fontId="3" fillId="6" borderId="52" xfId="0" applyFont="1" applyFill="1" applyBorder="1" applyAlignment="1">
      <alignment horizontal="left"/>
    </xf>
    <xf numFmtId="38" fontId="7" fillId="6" borderId="62" xfId="1" applyFont="1" applyFill="1" applyBorder="1">
      <alignment vertical="center"/>
    </xf>
    <xf numFmtId="38" fontId="7" fillId="0" borderId="63" xfId="1" applyFont="1" applyBorder="1">
      <alignment vertical="center"/>
    </xf>
    <xf numFmtId="0" fontId="2" fillId="0" borderId="66" xfId="0" applyFont="1" applyBorder="1" applyAlignment="1"/>
    <xf numFmtId="180" fontId="2" fillId="0" borderId="55" xfId="0" applyNumberFormat="1" applyFont="1" applyFill="1" applyBorder="1" applyAlignment="1"/>
    <xf numFmtId="0" fontId="12" fillId="3" borderId="38" xfId="0" applyFont="1" applyFill="1" applyBorder="1" applyAlignment="1"/>
    <xf numFmtId="180" fontId="12" fillId="3" borderId="47" xfId="0" applyNumberFormat="1" applyFont="1" applyFill="1" applyBorder="1" applyAlignment="1"/>
    <xf numFmtId="0" fontId="2" fillId="0" borderId="16" xfId="0" applyFont="1" applyBorder="1" applyAlignment="1"/>
    <xf numFmtId="180" fontId="2" fillId="0" borderId="51" xfId="0" applyNumberFormat="1" applyFont="1" applyBorder="1" applyAlignment="1"/>
    <xf numFmtId="180" fontId="2" fillId="0" borderId="75" xfId="0" applyNumberFormat="1" applyFont="1" applyBorder="1" applyAlignment="1"/>
    <xf numFmtId="0" fontId="12" fillId="0" borderId="0" xfId="0" applyFont="1" applyFill="1" applyBorder="1" applyAlignment="1"/>
    <xf numFmtId="180" fontId="12" fillId="0" borderId="0" xfId="0" applyNumberFormat="1" applyFont="1" applyFill="1" applyBorder="1" applyAlignment="1"/>
    <xf numFmtId="38" fontId="12" fillId="0" borderId="0" xfId="3" applyFont="1" applyFill="1" applyBorder="1" applyAlignment="1"/>
    <xf numFmtId="180" fontId="2" fillId="0" borderId="80" xfId="0" applyNumberFormat="1" applyFont="1" applyBorder="1" applyAlignment="1"/>
    <xf numFmtId="180" fontId="2" fillId="0" borderId="61" xfId="0" applyNumberFormat="1" applyFont="1" applyBorder="1" applyAlignment="1"/>
    <xf numFmtId="0" fontId="2" fillId="0" borderId="82" xfId="0" applyFont="1" applyBorder="1" applyAlignment="1"/>
    <xf numFmtId="180" fontId="2" fillId="0" borderId="84" xfId="0" applyNumberFormat="1" applyFont="1" applyBorder="1" applyAlignment="1"/>
    <xf numFmtId="0" fontId="10" fillId="0" borderId="0" xfId="0" applyFont="1" applyAlignment="1"/>
    <xf numFmtId="179" fontId="10" fillId="0" borderId="0" xfId="0" applyNumberFormat="1" applyFont="1" applyAlignment="1"/>
    <xf numFmtId="179" fontId="2" fillId="4" borderId="86" xfId="0" applyNumberFormat="1" applyFont="1" applyFill="1" applyBorder="1" applyAlignment="1">
      <alignment horizontal="center"/>
    </xf>
    <xf numFmtId="180" fontId="2" fillId="0" borderId="80" xfId="0" applyNumberFormat="1" applyFont="1" applyFill="1" applyBorder="1" applyAlignment="1"/>
    <xf numFmtId="38" fontId="2" fillId="0" borderId="1" xfId="0" applyNumberFormat="1" applyFont="1" applyBorder="1" applyAlignment="1"/>
    <xf numFmtId="38" fontId="2" fillId="0" borderId="43" xfId="0" applyNumberFormat="1" applyFont="1" applyBorder="1" applyAlignment="1"/>
    <xf numFmtId="0" fontId="2" fillId="0" borderId="25" xfId="0" applyFont="1" applyBorder="1" applyAlignment="1"/>
    <xf numFmtId="0" fontId="2" fillId="0" borderId="33" xfId="0" applyFont="1" applyBorder="1" applyAlignment="1"/>
    <xf numFmtId="3" fontId="2" fillId="0" borderId="0" xfId="0" applyNumberFormat="1" applyFont="1" applyAlignment="1"/>
    <xf numFmtId="179" fontId="2" fillId="4" borderId="35" xfId="0" applyNumberFormat="1" applyFont="1" applyFill="1" applyBorder="1" applyAlignment="1">
      <alignment horizontal="center"/>
    </xf>
    <xf numFmtId="179" fontId="2" fillId="4" borderId="88" xfId="0" applyNumberFormat="1" applyFont="1" applyFill="1" applyBorder="1" applyAlignment="1">
      <alignment horizontal="center"/>
    </xf>
    <xf numFmtId="0" fontId="2" fillId="0" borderId="80" xfId="0" applyFont="1" applyBorder="1" applyAlignment="1"/>
    <xf numFmtId="38" fontId="2" fillId="0" borderId="80" xfId="0" applyNumberFormat="1" applyFont="1" applyFill="1" applyBorder="1" applyAlignment="1"/>
    <xf numFmtId="0" fontId="2" fillId="0" borderId="89" xfId="0" applyFont="1" applyBorder="1" applyAlignment="1"/>
    <xf numFmtId="180" fontId="2" fillId="0" borderId="90" xfId="0" applyNumberFormat="1" applyFont="1" applyBorder="1" applyAlignment="1"/>
    <xf numFmtId="179" fontId="2" fillId="0" borderId="84" xfId="0" applyNumberFormat="1" applyFont="1" applyBorder="1" applyAlignment="1"/>
    <xf numFmtId="179" fontId="2" fillId="0" borderId="91" xfId="0" applyNumberFormat="1" applyFont="1" applyBorder="1" applyAlignment="1"/>
    <xf numFmtId="38" fontId="2" fillId="0" borderId="1" xfId="0" applyNumberFormat="1" applyFont="1" applyFill="1" applyBorder="1" applyAlignment="1"/>
    <xf numFmtId="38" fontId="2" fillId="0" borderId="44" xfId="0" applyNumberFormat="1" applyFont="1" applyBorder="1" applyAlignment="1"/>
    <xf numFmtId="178" fontId="2" fillId="0" borderId="32" xfId="0" applyNumberFormat="1" applyFont="1" applyBorder="1" applyAlignment="1"/>
    <xf numFmtId="0" fontId="2" fillId="0" borderId="92" xfId="0" applyFont="1" applyBorder="1" applyAlignment="1"/>
    <xf numFmtId="10" fontId="2" fillId="0" borderId="0" xfId="0" applyNumberFormat="1" applyFont="1" applyAlignment="1"/>
    <xf numFmtId="179" fontId="2" fillId="4" borderId="76" xfId="0" applyNumberFormat="1" applyFont="1" applyFill="1" applyBorder="1" applyAlignment="1">
      <alignment horizontal="centerContinuous"/>
    </xf>
    <xf numFmtId="0" fontId="2" fillId="0" borderId="26" xfId="0" applyFont="1" applyBorder="1" applyAlignment="1"/>
    <xf numFmtId="0" fontId="2" fillId="0" borderId="24" xfId="0" applyFont="1" applyBorder="1" applyAlignment="1"/>
    <xf numFmtId="0" fontId="3" fillId="0" borderId="0" xfId="0" applyFont="1" applyAlignment="1">
      <alignment horizontal="right"/>
    </xf>
    <xf numFmtId="9" fontId="0" fillId="0" borderId="0" xfId="2" applyFont="1">
      <alignment vertical="center"/>
    </xf>
    <xf numFmtId="38" fontId="7" fillId="0" borderId="4" xfId="1" applyFont="1" applyBorder="1">
      <alignment vertical="center"/>
    </xf>
    <xf numFmtId="0" fontId="3" fillId="0" borderId="52" xfId="0" applyFont="1" applyBorder="1" applyAlignment="1"/>
    <xf numFmtId="0" fontId="3" fillId="0" borderId="23" xfId="0" applyFont="1" applyBorder="1" applyAlignment="1"/>
    <xf numFmtId="0" fontId="3" fillId="0" borderId="16" xfId="0" applyFont="1" applyBorder="1" applyAlignment="1"/>
    <xf numFmtId="176" fontId="7" fillId="0" borderId="4" xfId="1" applyNumberFormat="1" applyFont="1" applyBorder="1">
      <alignment vertical="center"/>
    </xf>
    <xf numFmtId="9" fontId="20" fillId="0" borderId="4" xfId="2" applyFont="1" applyBorder="1">
      <alignment vertical="center"/>
    </xf>
    <xf numFmtId="176" fontId="2" fillId="0" borderId="43" xfId="1" applyNumberFormat="1" applyFont="1" applyFill="1" applyBorder="1" applyAlignment="1"/>
    <xf numFmtId="0" fontId="3" fillId="0" borderId="52" xfId="0" applyFont="1" applyBorder="1" applyAlignment="1">
      <alignment horizontal="left" indent="1"/>
    </xf>
    <xf numFmtId="0" fontId="3" fillId="0" borderId="53" xfId="0" applyFont="1" applyBorder="1" applyAlignment="1"/>
    <xf numFmtId="38" fontId="20" fillId="0" borderId="62" xfId="1" applyFont="1" applyBorder="1">
      <alignment vertical="center"/>
    </xf>
    <xf numFmtId="38" fontId="20" fillId="0" borderId="63" xfId="1" applyFont="1" applyBorder="1">
      <alignment vertical="center"/>
    </xf>
    <xf numFmtId="0" fontId="2" fillId="2" borderId="52" xfId="0" applyFont="1" applyFill="1" applyBorder="1" applyAlignment="1"/>
    <xf numFmtId="0" fontId="2" fillId="2" borderId="83" xfId="0" applyFont="1" applyFill="1" applyBorder="1" applyAlignment="1"/>
    <xf numFmtId="0" fontId="2" fillId="2" borderId="58" xfId="0" applyFont="1" applyFill="1" applyBorder="1" applyAlignment="1"/>
    <xf numFmtId="0" fontId="2" fillId="2" borderId="25" xfId="0" applyFont="1" applyFill="1" applyBorder="1" applyAlignment="1"/>
    <xf numFmtId="0" fontId="10" fillId="2" borderId="0" xfId="0" applyFont="1" applyFill="1" applyAlignment="1"/>
    <xf numFmtId="0" fontId="2" fillId="2" borderId="0" xfId="0" applyFont="1" applyFill="1" applyAlignment="1"/>
    <xf numFmtId="0" fontId="7" fillId="0" borderId="0" xfId="0" applyFont="1" applyFill="1">
      <alignment vertical="center"/>
    </xf>
    <xf numFmtId="180" fontId="2" fillId="0" borderId="53" xfId="0" applyNumberFormat="1" applyFont="1" applyBorder="1" applyAlignment="1"/>
    <xf numFmtId="0" fontId="2" fillId="0" borderId="18" xfId="3" applyNumberFormat="1" applyFont="1" applyBorder="1" applyAlignment="1">
      <alignment horizontal="center"/>
    </xf>
    <xf numFmtId="176" fontId="2" fillId="0" borderId="44" xfId="3" applyNumberFormat="1" applyFont="1" applyBorder="1" applyAlignment="1">
      <alignment horizontal="right"/>
    </xf>
    <xf numFmtId="38" fontId="2" fillId="0" borderId="59" xfId="0" applyNumberFormat="1" applyFont="1" applyFill="1" applyBorder="1" applyAlignment="1"/>
    <xf numFmtId="0" fontId="3" fillId="0" borderId="52" xfId="0" applyFont="1" applyFill="1" applyBorder="1" applyAlignment="1">
      <alignment horizontal="left"/>
    </xf>
    <xf numFmtId="0" fontId="2" fillId="0" borderId="53" xfId="0" applyFont="1" applyFill="1" applyBorder="1" applyAlignment="1"/>
    <xf numFmtId="0" fontId="3" fillId="0" borderId="53" xfId="0" applyFont="1" applyFill="1" applyBorder="1" applyAlignment="1"/>
    <xf numFmtId="0" fontId="13" fillId="8" borderId="23" xfId="0" applyFont="1" applyFill="1" applyBorder="1" applyAlignment="1">
      <alignment horizontal="left"/>
    </xf>
    <xf numFmtId="0" fontId="14" fillId="8" borderId="67" xfId="0" applyFont="1" applyFill="1" applyBorder="1" applyAlignment="1">
      <alignment horizontal="left"/>
    </xf>
    <xf numFmtId="38" fontId="12" fillId="8" borderId="68" xfId="1" applyFont="1" applyFill="1" applyBorder="1">
      <alignment vertical="center"/>
    </xf>
    <xf numFmtId="180" fontId="12" fillId="8" borderId="69" xfId="0" applyNumberFormat="1" applyFont="1" applyFill="1" applyBorder="1" applyAlignment="1"/>
    <xf numFmtId="180" fontId="2" fillId="0" borderId="16" xfId="0" applyNumberFormat="1" applyFont="1" applyBorder="1" applyAlignment="1"/>
    <xf numFmtId="38" fontId="12" fillId="3" borderId="1" xfId="1" applyFont="1" applyFill="1" applyBorder="1">
      <alignment vertical="center"/>
    </xf>
    <xf numFmtId="38" fontId="7" fillId="0" borderId="93" xfId="1" applyFont="1" applyBorder="1">
      <alignment vertical="center"/>
    </xf>
    <xf numFmtId="38" fontId="7" fillId="0" borderId="94" xfId="1" applyFont="1" applyBorder="1">
      <alignment vertical="center"/>
    </xf>
    <xf numFmtId="9" fontId="20" fillId="0" borderId="15" xfId="2" applyFont="1" applyBorder="1">
      <alignment vertical="center"/>
    </xf>
    <xf numFmtId="9" fontId="20" fillId="0" borderId="94" xfId="2" applyFont="1" applyBorder="1">
      <alignment vertical="center"/>
    </xf>
    <xf numFmtId="38" fontId="12" fillId="3" borderId="95" xfId="1" applyFont="1" applyFill="1" applyBorder="1">
      <alignment vertical="center"/>
    </xf>
    <xf numFmtId="180" fontId="2" fillId="6" borderId="96" xfId="0" applyNumberFormat="1" applyFont="1" applyFill="1" applyBorder="1" applyAlignment="1"/>
    <xf numFmtId="38" fontId="7" fillId="0" borderId="56" xfId="1" applyFont="1" applyBorder="1">
      <alignment vertical="center"/>
    </xf>
    <xf numFmtId="38" fontId="7" fillId="6" borderId="56" xfId="1" applyFont="1" applyFill="1" applyBorder="1">
      <alignment vertical="center"/>
    </xf>
    <xf numFmtId="38" fontId="7" fillId="6" borderId="97" xfId="1" applyFont="1" applyFill="1" applyBorder="1">
      <alignment vertical="center"/>
    </xf>
    <xf numFmtId="38" fontId="7" fillId="0" borderId="64" xfId="1" applyFont="1" applyBorder="1">
      <alignment vertical="center"/>
    </xf>
    <xf numFmtId="38" fontId="7" fillId="0" borderId="98" xfId="1" applyFont="1" applyBorder="1">
      <alignment vertical="center"/>
    </xf>
    <xf numFmtId="38" fontId="12" fillId="8" borderId="17" xfId="0" applyNumberFormat="1" applyFont="1" applyFill="1" applyBorder="1">
      <alignment vertical="center"/>
    </xf>
    <xf numFmtId="38" fontId="12" fillId="8" borderId="99" xfId="0" applyNumberFormat="1" applyFont="1" applyFill="1" applyBorder="1">
      <alignment vertical="center"/>
    </xf>
    <xf numFmtId="180" fontId="2" fillId="6" borderId="102" xfId="0" applyNumberFormat="1" applyFont="1" applyFill="1" applyBorder="1" applyAlignment="1"/>
    <xf numFmtId="38" fontId="7" fillId="0" borderId="87" xfId="1" applyFont="1" applyBorder="1">
      <alignment vertical="center"/>
    </xf>
    <xf numFmtId="38" fontId="20" fillId="0" borderId="87" xfId="1" applyFont="1" applyBorder="1">
      <alignment vertical="center"/>
    </xf>
    <xf numFmtId="38" fontId="12" fillId="8" borderId="17" xfId="1" applyFont="1" applyFill="1" applyBorder="1">
      <alignment vertical="center"/>
    </xf>
    <xf numFmtId="38" fontId="7" fillId="0" borderId="79" xfId="1" applyFont="1" applyFill="1" applyBorder="1">
      <alignment vertical="center"/>
    </xf>
    <xf numFmtId="38" fontId="7" fillId="0" borderId="80" xfId="1" applyFont="1" applyFill="1" applyBorder="1">
      <alignment vertical="center"/>
    </xf>
    <xf numFmtId="38" fontId="7" fillId="0" borderId="103" xfId="1" applyFont="1" applyFill="1" applyBorder="1">
      <alignment vertical="center"/>
    </xf>
    <xf numFmtId="0" fontId="11" fillId="3" borderId="35" xfId="0" applyFont="1" applyFill="1" applyBorder="1" applyAlignment="1"/>
    <xf numFmtId="38" fontId="12" fillId="3" borderId="76" xfId="0" applyNumberFormat="1" applyFont="1" applyFill="1" applyBorder="1">
      <alignment vertical="center"/>
    </xf>
    <xf numFmtId="38" fontId="12" fillId="3" borderId="37" xfId="0" applyNumberFormat="1" applyFont="1" applyFill="1" applyBorder="1">
      <alignment vertical="center"/>
    </xf>
    <xf numFmtId="38" fontId="12" fillId="3" borderId="101" xfId="0" applyNumberFormat="1" applyFont="1" applyFill="1" applyBorder="1">
      <alignment vertical="center"/>
    </xf>
    <xf numFmtId="0" fontId="18" fillId="5" borderId="77" xfId="0" applyFont="1" applyFill="1" applyBorder="1" applyAlignment="1"/>
    <xf numFmtId="180" fontId="2" fillId="5" borderId="78" xfId="0" applyNumberFormat="1" applyFont="1" applyFill="1" applyBorder="1" applyAlignment="1">
      <alignment horizontal="center"/>
    </xf>
    <xf numFmtId="180" fontId="2" fillId="0" borderId="82" xfId="0" applyNumberFormat="1" applyFont="1" applyBorder="1" applyAlignment="1"/>
    <xf numFmtId="180" fontId="2" fillId="5" borderId="79" xfId="0" applyNumberFormat="1" applyFont="1" applyFill="1" applyBorder="1" applyAlignment="1"/>
    <xf numFmtId="180" fontId="2" fillId="5" borderId="80" xfId="0" applyNumberFormat="1" applyFont="1" applyFill="1" applyBorder="1" applyAlignment="1"/>
    <xf numFmtId="180" fontId="2" fillId="5" borderId="103" xfId="0" applyNumberFormat="1" applyFont="1" applyFill="1" applyBorder="1" applyAlignment="1"/>
    <xf numFmtId="180" fontId="2" fillId="0" borderId="62" xfId="0" applyNumberFormat="1" applyFont="1" applyFill="1" applyBorder="1" applyAlignment="1"/>
    <xf numFmtId="180" fontId="2" fillId="0" borderId="97" xfId="0" applyNumberFormat="1" applyFont="1" applyFill="1" applyBorder="1" applyAlignment="1"/>
    <xf numFmtId="180" fontId="2" fillId="0" borderId="102" xfId="0" applyNumberFormat="1" applyFont="1" applyFill="1" applyBorder="1" applyAlignment="1"/>
    <xf numFmtId="180" fontId="2" fillId="0" borderId="96" xfId="0" applyNumberFormat="1" applyFont="1" applyFill="1" applyBorder="1" applyAlignment="1"/>
    <xf numFmtId="180" fontId="2" fillId="0" borderId="73" xfId="0" applyNumberFormat="1" applyFont="1" applyFill="1" applyBorder="1" applyAlignment="1"/>
    <xf numFmtId="180" fontId="2" fillId="0" borderId="74" xfId="0" applyNumberFormat="1" applyFont="1" applyFill="1" applyBorder="1" applyAlignment="1"/>
    <xf numFmtId="180" fontId="2" fillId="0" borderId="100" xfId="0" applyNumberFormat="1" applyFont="1" applyFill="1" applyBorder="1" applyAlignment="1"/>
    <xf numFmtId="0" fontId="9" fillId="0" borderId="52" xfId="0" applyFont="1" applyBorder="1" applyAlignment="1"/>
    <xf numFmtId="0" fontId="18" fillId="5" borderId="52" xfId="0" applyFont="1" applyFill="1" applyBorder="1" applyAlignment="1"/>
    <xf numFmtId="180" fontId="2" fillId="5" borderId="62" xfId="0" applyNumberFormat="1" applyFont="1" applyFill="1" applyBorder="1" applyAlignment="1"/>
    <xf numFmtId="180" fontId="2" fillId="5" borderId="56" xfId="0" applyNumberFormat="1" applyFont="1" applyFill="1" applyBorder="1" applyAlignment="1"/>
    <xf numFmtId="180" fontId="2" fillId="5" borderId="97" xfId="0" applyNumberFormat="1" applyFont="1" applyFill="1" applyBorder="1" applyAlignment="1"/>
    <xf numFmtId="0" fontId="18" fillId="5" borderId="71" xfId="0" applyFont="1" applyFill="1" applyBorder="1" applyAlignment="1"/>
    <xf numFmtId="180" fontId="2" fillId="5" borderId="63" xfId="0" applyNumberFormat="1" applyFont="1" applyFill="1" applyBorder="1" applyAlignment="1"/>
    <xf numFmtId="180" fontId="2" fillId="5" borderId="64" xfId="0" applyNumberFormat="1" applyFont="1" applyFill="1" applyBorder="1" applyAlignment="1"/>
    <xf numFmtId="180" fontId="2" fillId="5" borderId="98" xfId="0" applyNumberFormat="1" applyFont="1" applyFill="1" applyBorder="1" applyAlignment="1"/>
    <xf numFmtId="180" fontId="2" fillId="5" borderId="72" xfId="0" applyNumberFormat="1" applyFont="1" applyFill="1" applyBorder="1" applyAlignment="1">
      <alignment horizontal="center"/>
    </xf>
    <xf numFmtId="180" fontId="2" fillId="5" borderId="53" xfId="0" applyNumberFormat="1" applyFont="1" applyFill="1" applyBorder="1" applyAlignment="1">
      <alignment horizontal="center"/>
    </xf>
    <xf numFmtId="0" fontId="18" fillId="5" borderId="78" xfId="0" applyFont="1" applyFill="1" applyBorder="1" applyAlignment="1"/>
    <xf numFmtId="0" fontId="18" fillId="5" borderId="72" xfId="0" applyFont="1" applyFill="1" applyBorder="1" applyAlignment="1"/>
    <xf numFmtId="0" fontId="18" fillId="5" borderId="53" xfId="0" applyFont="1" applyFill="1" applyBorder="1" applyAlignment="1"/>
    <xf numFmtId="180" fontId="2" fillId="0" borderId="66" xfId="0" applyNumberFormat="1" applyFont="1" applyFill="1" applyBorder="1" applyAlignment="1">
      <alignment horizontal="center"/>
    </xf>
    <xf numFmtId="0" fontId="9" fillId="0" borderId="65" xfId="0" applyFont="1" applyFill="1" applyBorder="1" applyAlignment="1"/>
    <xf numFmtId="0" fontId="9" fillId="0" borderId="66" xfId="0" applyFont="1" applyFill="1" applyBorder="1" applyAlignment="1"/>
    <xf numFmtId="180" fontId="2" fillId="0" borderId="15" xfId="0" applyNumberFormat="1" applyFont="1" applyFill="1" applyBorder="1" applyAlignment="1"/>
    <xf numFmtId="180" fontId="2" fillId="0" borderId="94" xfId="0" applyNumberFormat="1" applyFont="1" applyFill="1" applyBorder="1" applyAlignment="1"/>
    <xf numFmtId="0" fontId="9" fillId="0" borderId="23" xfId="0" applyFont="1" applyBorder="1" applyAlignment="1"/>
    <xf numFmtId="38" fontId="7" fillId="0" borderId="102" xfId="1" applyFont="1" applyBorder="1">
      <alignment vertical="center"/>
    </xf>
    <xf numFmtId="38" fontId="7" fillId="0" borderId="55" xfId="1" applyFont="1" applyBorder="1">
      <alignment vertical="center"/>
    </xf>
    <xf numFmtId="38" fontId="7" fillId="0" borderId="96" xfId="1" applyFont="1" applyBorder="1">
      <alignment vertical="center"/>
    </xf>
    <xf numFmtId="180" fontId="2" fillId="0" borderId="66" xfId="0" applyNumberFormat="1" applyFont="1" applyFill="1" applyBorder="1" applyAlignment="1"/>
    <xf numFmtId="0" fontId="9" fillId="0" borderId="77" xfId="0" applyFont="1" applyBorder="1" applyAlignment="1"/>
    <xf numFmtId="0" fontId="9" fillId="0" borderId="52" xfId="0" applyFont="1" applyFill="1" applyBorder="1" applyAlignment="1"/>
    <xf numFmtId="180" fontId="10" fillId="0" borderId="57" xfId="0" applyNumberFormat="1" applyFont="1" applyFill="1" applyBorder="1" applyAlignment="1"/>
    <xf numFmtId="179" fontId="2" fillId="4" borderId="38" xfId="0" applyNumberFormat="1" applyFont="1" applyFill="1" applyBorder="1" applyAlignment="1">
      <alignment horizontal="center"/>
    </xf>
    <xf numFmtId="38" fontId="3" fillId="0" borderId="48" xfId="0" applyNumberFormat="1" applyFont="1" applyBorder="1" applyAlignment="1"/>
    <xf numFmtId="0" fontId="9" fillId="0" borderId="53" xfId="0" applyFont="1" applyFill="1" applyBorder="1" applyAlignment="1"/>
    <xf numFmtId="177" fontId="2" fillId="0" borderId="1" xfId="0" applyNumberFormat="1" applyFont="1" applyBorder="1" applyAlignment="1">
      <alignment horizontal="right"/>
    </xf>
    <xf numFmtId="177" fontId="2" fillId="0" borderId="43" xfId="0" applyNumberFormat="1" applyFont="1" applyBorder="1" applyAlignment="1">
      <alignment horizontal="right"/>
    </xf>
    <xf numFmtId="0" fontId="2" fillId="0" borderId="85" xfId="0" applyFont="1" applyBorder="1" applyAlignment="1"/>
    <xf numFmtId="179" fontId="2" fillId="0" borderId="59" xfId="0" applyNumberFormat="1" applyFont="1" applyBorder="1" applyAlignment="1"/>
    <xf numFmtId="177" fontId="2" fillId="0" borderId="27" xfId="0" applyNumberFormat="1" applyFont="1" applyBorder="1" applyAlignment="1"/>
    <xf numFmtId="0" fontId="3" fillId="2" borderId="77" xfId="0" applyFont="1" applyFill="1" applyBorder="1" applyAlignment="1"/>
    <xf numFmtId="0" fontId="2" fillId="0" borderId="77" xfId="0" applyFont="1" applyFill="1" applyBorder="1" applyAlignment="1"/>
    <xf numFmtId="0" fontId="2" fillId="0" borderId="83" xfId="0" applyFont="1" applyFill="1" applyBorder="1" applyAlignment="1"/>
    <xf numFmtId="0" fontId="2" fillId="0" borderId="58" xfId="0" applyFont="1" applyFill="1" applyBorder="1" applyAlignment="1"/>
    <xf numFmtId="0" fontId="2" fillId="0" borderId="25" xfId="0" applyFont="1" applyFill="1" applyBorder="1" applyAlignment="1"/>
    <xf numFmtId="9" fontId="0" fillId="0" borderId="0" xfId="0" applyNumberFormat="1">
      <alignment vertical="center"/>
    </xf>
    <xf numFmtId="38" fontId="0" fillId="0" borderId="0" xfId="1" applyFont="1">
      <alignment vertical="center"/>
    </xf>
    <xf numFmtId="179" fontId="3" fillId="0" borderId="0" xfId="0" applyNumberFormat="1" applyFont="1" applyAlignment="1"/>
    <xf numFmtId="0" fontId="3" fillId="0" borderId="23" xfId="0" applyFont="1" applyFill="1" applyBorder="1" applyAlignment="1">
      <alignment horizontal="left"/>
    </xf>
    <xf numFmtId="180" fontId="2" fillId="0" borderId="51" xfId="0" applyNumberFormat="1" applyFont="1" applyFill="1" applyBorder="1" applyAlignment="1"/>
    <xf numFmtId="9" fontId="7" fillId="0" borderId="15" xfId="2" applyFont="1" applyBorder="1">
      <alignment vertical="center"/>
    </xf>
    <xf numFmtId="10" fontId="7" fillId="0" borderId="15" xfId="2" applyNumberFormat="1" applyFont="1" applyBorder="1">
      <alignment vertical="center"/>
    </xf>
    <xf numFmtId="0" fontId="18" fillId="5" borderId="31" xfId="0" applyFont="1" applyFill="1" applyBorder="1" applyAlignment="1"/>
    <xf numFmtId="38" fontId="7" fillId="0" borderId="87" xfId="1" applyFont="1" applyFill="1" applyBorder="1">
      <alignment vertical="center"/>
    </xf>
    <xf numFmtId="38" fontId="7" fillId="0" borderId="15" xfId="1" applyFont="1" applyFill="1" applyBorder="1">
      <alignment vertical="center"/>
    </xf>
    <xf numFmtId="38" fontId="7" fillId="0" borderId="94" xfId="1" applyFont="1" applyFill="1" applyBorder="1">
      <alignment vertical="center"/>
    </xf>
    <xf numFmtId="180" fontId="2" fillId="0" borderId="105" xfId="0" applyNumberFormat="1" applyFont="1" applyFill="1" applyBorder="1" applyAlignment="1"/>
    <xf numFmtId="180" fontId="2" fillId="5" borderId="31" xfId="0" applyNumberFormat="1" applyFont="1" applyFill="1" applyBorder="1" applyAlignment="1">
      <alignment horizontal="center"/>
    </xf>
    <xf numFmtId="180" fontId="2" fillId="5" borderId="106" xfId="0" applyNumberFormat="1" applyFont="1" applyFill="1" applyBorder="1" applyAlignment="1">
      <alignment horizontal="center"/>
    </xf>
    <xf numFmtId="180" fontId="2" fillId="5" borderId="107" xfId="0" applyNumberFormat="1" applyFont="1" applyFill="1" applyBorder="1" applyAlignment="1">
      <alignment horizontal="center"/>
    </xf>
    <xf numFmtId="0" fontId="13" fillId="8" borderId="58" xfId="0" applyFont="1" applyFill="1" applyBorder="1" applyAlignment="1">
      <alignment horizontal="left"/>
    </xf>
    <xf numFmtId="0" fontId="14" fillId="8" borderId="59" xfId="0" applyFont="1" applyFill="1" applyBorder="1" applyAlignment="1">
      <alignment horizontal="left"/>
    </xf>
    <xf numFmtId="38" fontId="12" fillId="8" borderId="42" xfId="0" applyNumberFormat="1" applyFont="1" applyFill="1" applyBorder="1">
      <alignment vertical="center"/>
    </xf>
    <xf numFmtId="38" fontId="12" fillId="8" borderId="1" xfId="0" applyNumberFormat="1" applyFont="1" applyFill="1" applyBorder="1">
      <alignment vertical="center"/>
    </xf>
    <xf numFmtId="38" fontId="12" fillId="8" borderId="95" xfId="0" applyNumberFormat="1" applyFont="1" applyFill="1" applyBorder="1">
      <alignment vertical="center"/>
    </xf>
    <xf numFmtId="180" fontId="12" fillId="8" borderId="60" xfId="0" applyNumberFormat="1" applyFont="1" applyFill="1" applyBorder="1" applyAlignment="1"/>
    <xf numFmtId="38" fontId="7" fillId="0" borderId="15" xfId="1" applyFont="1" applyBorder="1" applyAlignment="1">
      <alignment horizontal="right" vertical="center"/>
    </xf>
    <xf numFmtId="0" fontId="3" fillId="9" borderId="23" xfId="0" applyFont="1" applyFill="1" applyBorder="1" applyAlignment="1">
      <alignment horizontal="left"/>
    </xf>
    <xf numFmtId="0" fontId="9" fillId="0" borderId="81" xfId="0" applyFont="1" applyFill="1" applyBorder="1" applyAlignment="1"/>
    <xf numFmtId="0" fontId="3" fillId="0" borderId="65" xfId="0" applyFont="1" applyBorder="1" applyAlignment="1"/>
    <xf numFmtId="0" fontId="22" fillId="11" borderId="23" xfId="0" applyFont="1" applyFill="1" applyBorder="1" applyAlignment="1"/>
    <xf numFmtId="0" fontId="22" fillId="11" borderId="16" xfId="0" applyFont="1" applyFill="1" applyBorder="1" applyAlignment="1"/>
    <xf numFmtId="38" fontId="23" fillId="11" borderId="87" xfId="1" applyFont="1" applyFill="1" applyBorder="1">
      <alignment vertical="center"/>
    </xf>
    <xf numFmtId="38" fontId="23" fillId="11" borderId="15" xfId="1" applyFont="1" applyFill="1" applyBorder="1">
      <alignment vertical="center"/>
    </xf>
    <xf numFmtId="38" fontId="23" fillId="11" borderId="3" xfId="1" applyFont="1" applyFill="1" applyBorder="1">
      <alignment vertical="center"/>
    </xf>
    <xf numFmtId="180" fontId="24" fillId="11" borderId="51" xfId="0" applyNumberFormat="1" applyFont="1" applyFill="1" applyBorder="1" applyAlignment="1"/>
    <xf numFmtId="38" fontId="23" fillId="11" borderId="15" xfId="1" applyFont="1" applyFill="1" applyBorder="1" applyAlignment="1">
      <alignment horizontal="right" vertical="center"/>
    </xf>
    <xf numFmtId="0" fontId="22" fillId="11" borderId="65" xfId="0" applyFont="1" applyFill="1" applyBorder="1" applyAlignment="1"/>
    <xf numFmtId="0" fontId="22" fillId="11" borderId="66" xfId="0" applyFont="1" applyFill="1" applyBorder="1" applyAlignment="1"/>
    <xf numFmtId="38" fontId="23" fillId="11" borderId="102" xfId="1" applyFont="1" applyFill="1" applyBorder="1">
      <alignment vertical="center"/>
    </xf>
    <xf numFmtId="38" fontId="23" fillId="11" borderId="55" xfId="1" applyFont="1" applyFill="1" applyBorder="1">
      <alignment vertical="center"/>
    </xf>
    <xf numFmtId="38" fontId="23" fillId="11" borderId="108" xfId="1" applyFont="1" applyFill="1" applyBorder="1">
      <alignment vertical="center"/>
    </xf>
    <xf numFmtId="180" fontId="24" fillId="11" borderId="105" xfId="0" applyNumberFormat="1" applyFont="1" applyFill="1" applyBorder="1" applyAlignment="1"/>
    <xf numFmtId="38" fontId="23" fillId="11" borderId="55" xfId="1" applyFont="1" applyFill="1" applyBorder="1" applyAlignment="1">
      <alignment horizontal="right" vertical="center"/>
    </xf>
    <xf numFmtId="0" fontId="3" fillId="9" borderId="65" xfId="0" applyFont="1" applyFill="1" applyBorder="1" applyAlignment="1"/>
    <xf numFmtId="0" fontId="10" fillId="0" borderId="82" xfId="0" applyFont="1" applyFill="1" applyBorder="1" applyAlignment="1"/>
    <xf numFmtId="38" fontId="10" fillId="0" borderId="73" xfId="0" applyNumberFormat="1" applyFont="1" applyFill="1" applyBorder="1">
      <alignment vertical="center"/>
    </xf>
    <xf numFmtId="38" fontId="10" fillId="0" borderId="74" xfId="0" applyNumberFormat="1" applyFont="1" applyFill="1" applyBorder="1">
      <alignment vertical="center"/>
    </xf>
    <xf numFmtId="38" fontId="10" fillId="0" borderId="100" xfId="0" applyNumberFormat="1" applyFont="1" applyFill="1" applyBorder="1">
      <alignment vertical="center"/>
    </xf>
    <xf numFmtId="180" fontId="10" fillId="0" borderId="109" xfId="0" applyNumberFormat="1" applyFont="1" applyFill="1" applyBorder="1" applyAlignment="1"/>
    <xf numFmtId="0" fontId="9" fillId="0" borderId="0" xfId="0" applyFont="1" applyFill="1" applyBorder="1" applyAlignment="1"/>
    <xf numFmtId="0" fontId="10" fillId="0" borderId="0" xfId="0" applyFont="1" applyFill="1" applyBorder="1" applyAlignment="1"/>
    <xf numFmtId="38" fontId="10" fillId="0" borderId="0" xfId="0" applyNumberFormat="1" applyFont="1" applyFill="1" applyBorder="1">
      <alignment vertical="center"/>
    </xf>
    <xf numFmtId="180" fontId="10" fillId="0" borderId="0" xfId="0" applyNumberFormat="1" applyFont="1" applyFill="1" applyBorder="1" applyAlignment="1"/>
    <xf numFmtId="0" fontId="25" fillId="12" borderId="0" xfId="0" applyFont="1" applyFill="1">
      <alignment vertical="center"/>
    </xf>
    <xf numFmtId="0" fontId="26" fillId="12" borderId="0" xfId="0" applyFont="1" applyFill="1" applyAlignment="1">
      <alignment vertical="center"/>
    </xf>
    <xf numFmtId="0" fontId="26" fillId="12" borderId="0" xfId="0" applyFont="1" applyFill="1">
      <alignment vertical="center"/>
    </xf>
    <xf numFmtId="0" fontId="26" fillId="12" borderId="0" xfId="0" applyFont="1" applyFill="1" applyAlignment="1">
      <alignment horizontal="center" vertical="center"/>
    </xf>
    <xf numFmtId="0" fontId="26" fillId="0" borderId="0" xfId="0" applyFont="1" applyFill="1" applyAlignment="1">
      <alignment horizontal="center" vertical="center"/>
    </xf>
    <xf numFmtId="180" fontId="2" fillId="0" borderId="87" xfId="0" applyNumberFormat="1" applyFont="1" applyFill="1" applyBorder="1" applyAlignment="1"/>
    <xf numFmtId="180" fontId="2" fillId="0" borderId="16" xfId="0" applyNumberFormat="1" applyFont="1" applyFill="1" applyBorder="1" applyAlignment="1">
      <alignment horizontal="center"/>
    </xf>
    <xf numFmtId="0" fontId="9" fillId="0" borderId="23" xfId="0" applyFont="1" applyFill="1" applyBorder="1" applyAlignment="1"/>
    <xf numFmtId="38" fontId="10" fillId="0" borderId="15" xfId="1" applyFont="1" applyBorder="1">
      <alignment vertical="center"/>
    </xf>
    <xf numFmtId="38" fontId="10" fillId="0" borderId="94" xfId="1" applyFont="1" applyBorder="1">
      <alignment vertical="center"/>
    </xf>
    <xf numFmtId="38" fontId="10" fillId="0" borderId="56" xfId="1" applyFont="1" applyBorder="1">
      <alignment vertical="center"/>
    </xf>
    <xf numFmtId="38" fontId="10" fillId="0" borderId="97" xfId="1" applyFont="1" applyBorder="1">
      <alignment vertical="center"/>
    </xf>
    <xf numFmtId="0" fontId="9" fillId="0" borderId="16" xfId="0" applyFont="1" applyFill="1" applyBorder="1" applyAlignment="1"/>
    <xf numFmtId="0" fontId="10" fillId="0" borderId="0" xfId="0" applyFont="1" applyFill="1" applyAlignment="1"/>
    <xf numFmtId="38" fontId="10" fillId="0" borderId="87" xfId="0" applyNumberFormat="1" applyFont="1" applyFill="1" applyBorder="1">
      <alignment vertical="center"/>
    </xf>
    <xf numFmtId="38" fontId="10" fillId="0" borderId="15" xfId="0" applyNumberFormat="1" applyFont="1" applyFill="1" applyBorder="1">
      <alignment vertical="center"/>
    </xf>
    <xf numFmtId="38" fontId="10" fillId="0" borderId="94" xfId="0" applyNumberFormat="1" applyFont="1" applyFill="1" applyBorder="1">
      <alignment vertical="center"/>
    </xf>
    <xf numFmtId="180" fontId="10" fillId="0" borderId="16" xfId="0" applyNumberFormat="1" applyFont="1" applyFill="1" applyBorder="1" applyAlignment="1"/>
    <xf numFmtId="0" fontId="2" fillId="0" borderId="32" xfId="0" applyFont="1" applyFill="1" applyBorder="1" applyAlignment="1"/>
    <xf numFmtId="179" fontId="2" fillId="0" borderId="92" xfId="0" applyNumberFormat="1" applyFont="1" applyBorder="1" applyAlignment="1"/>
    <xf numFmtId="0" fontId="2" fillId="0" borderId="52" xfId="0" applyFont="1" applyFill="1" applyBorder="1" applyAlignment="1"/>
    <xf numFmtId="38" fontId="3" fillId="0" borderId="53" xfId="0" applyNumberFormat="1" applyFont="1" applyBorder="1" applyAlignment="1"/>
    <xf numFmtId="179" fontId="2" fillId="0" borderId="53" xfId="0" applyNumberFormat="1" applyFont="1" applyBorder="1" applyAlignment="1"/>
    <xf numFmtId="177" fontId="2" fillId="0" borderId="53" xfId="0" applyNumberFormat="1" applyFont="1" applyBorder="1" applyAlignment="1"/>
    <xf numFmtId="180" fontId="2" fillId="0" borderId="79" xfId="0" applyNumberFormat="1" applyFont="1" applyBorder="1" applyAlignment="1"/>
    <xf numFmtId="177" fontId="2" fillId="0" borderId="45" xfId="0" applyNumberFormat="1" applyFont="1" applyBorder="1" applyAlignment="1">
      <alignment horizontal="right"/>
    </xf>
    <xf numFmtId="0" fontId="2" fillId="0" borderId="79" xfId="0" applyFont="1" applyBorder="1" applyAlignment="1"/>
    <xf numFmtId="180" fontId="2" fillId="0" borderId="62" xfId="0" applyNumberFormat="1" applyFont="1" applyBorder="1" applyAlignment="1"/>
    <xf numFmtId="177" fontId="2" fillId="0" borderId="62" xfId="0" applyNumberFormat="1" applyFont="1" applyBorder="1" applyAlignment="1">
      <alignment horizontal="right"/>
    </xf>
    <xf numFmtId="0" fontId="2" fillId="0" borderId="62" xfId="0" applyFont="1" applyBorder="1" applyAlignment="1"/>
    <xf numFmtId="0" fontId="2" fillId="0" borderId="110" xfId="0" applyFont="1" applyBorder="1" applyAlignment="1"/>
    <xf numFmtId="0" fontId="9" fillId="0" borderId="78" xfId="0" applyFont="1" applyFill="1" applyBorder="1" applyAlignment="1"/>
    <xf numFmtId="0" fontId="3" fillId="0" borderId="25" xfId="0" applyFont="1" applyFill="1" applyBorder="1" applyAlignment="1"/>
    <xf numFmtId="0" fontId="9" fillId="0" borderId="27" xfId="0" applyFont="1" applyFill="1" applyBorder="1" applyAlignment="1"/>
    <xf numFmtId="180" fontId="2" fillId="0" borderId="26" xfId="0" applyNumberFormat="1" applyFont="1" applyBorder="1" applyAlignment="1"/>
    <xf numFmtId="179" fontId="2" fillId="4" borderId="46" xfId="0" applyNumberFormat="1" applyFont="1" applyFill="1" applyBorder="1" applyAlignment="1">
      <alignment horizontal="centerContinuous"/>
    </xf>
    <xf numFmtId="179" fontId="2" fillId="4" borderId="76" xfId="0" applyNumberFormat="1" applyFont="1" applyFill="1" applyBorder="1" applyAlignment="1">
      <alignment horizontal="center"/>
    </xf>
    <xf numFmtId="38" fontId="2" fillId="0" borderId="34" xfId="1" applyFont="1" applyBorder="1" applyAlignment="1">
      <alignment horizontal="right"/>
    </xf>
    <xf numFmtId="177" fontId="3" fillId="0" borderId="78" xfId="0" applyNumberFormat="1" applyFont="1" applyBorder="1" applyAlignment="1"/>
    <xf numFmtId="0" fontId="3" fillId="0" borderId="52" xfId="0" applyFont="1" applyFill="1" applyBorder="1" applyAlignment="1"/>
    <xf numFmtId="38" fontId="2" fillId="0" borderId="56" xfId="1" applyFont="1" applyBorder="1" applyAlignment="1">
      <alignment horizontal="right"/>
    </xf>
    <xf numFmtId="0" fontId="3" fillId="0" borderId="83" xfId="0" applyFont="1" applyFill="1" applyBorder="1" applyAlignment="1"/>
    <xf numFmtId="38" fontId="2" fillId="0" borderId="56" xfId="1" applyFont="1" applyBorder="1" applyAlignment="1"/>
    <xf numFmtId="38" fontId="2" fillId="0" borderId="84" xfId="1" applyFont="1" applyBorder="1" applyAlignment="1"/>
    <xf numFmtId="38" fontId="2" fillId="0" borderId="80" xfId="1" applyFont="1" applyBorder="1" applyAlignment="1"/>
    <xf numFmtId="38" fontId="2" fillId="0" borderId="90" xfId="1" applyFont="1" applyBorder="1" applyAlignment="1"/>
    <xf numFmtId="179" fontId="3" fillId="4" borderId="76" xfId="0" applyNumberFormat="1" applyFont="1" applyFill="1" applyBorder="1" applyAlignment="1">
      <alignment horizontal="center"/>
    </xf>
    <xf numFmtId="176" fontId="2" fillId="0" borderId="44" xfId="1" applyNumberFormat="1" applyFont="1" applyFill="1" applyBorder="1" applyAlignment="1"/>
    <xf numFmtId="9" fontId="0" fillId="9" borderId="0" xfId="2" applyFont="1" applyFill="1">
      <alignment vertical="center"/>
    </xf>
    <xf numFmtId="0" fontId="9" fillId="0" borderId="0" xfId="0" applyFont="1" applyFill="1" applyAlignment="1"/>
    <xf numFmtId="0" fontId="9" fillId="0" borderId="77" xfId="0" applyFont="1" applyFill="1" applyBorder="1" applyAlignment="1"/>
    <xf numFmtId="180" fontId="2" fillId="0" borderId="55" xfId="0" applyNumberFormat="1" applyFont="1" applyBorder="1" applyAlignment="1"/>
    <xf numFmtId="180" fontId="2" fillId="0" borderId="89" xfId="0" applyNumberFormat="1" applyFont="1" applyBorder="1" applyAlignment="1"/>
    <xf numFmtId="180" fontId="2" fillId="0" borderId="117" xfId="0" applyNumberFormat="1" applyFont="1" applyBorder="1" applyAlignment="1"/>
    <xf numFmtId="38" fontId="3" fillId="0" borderId="111" xfId="0" applyNumberFormat="1" applyFont="1" applyBorder="1" applyAlignment="1"/>
    <xf numFmtId="38" fontId="3" fillId="0" borderId="82" xfId="0" applyNumberFormat="1" applyFont="1" applyBorder="1" applyAlignment="1"/>
    <xf numFmtId="38" fontId="2" fillId="0" borderId="116" xfId="1" applyFont="1" applyBorder="1" applyAlignment="1">
      <alignment horizontal="right"/>
    </xf>
    <xf numFmtId="38" fontId="2" fillId="0" borderId="84" xfId="1" applyFont="1" applyBorder="1" applyAlignment="1">
      <alignment horizontal="right"/>
    </xf>
    <xf numFmtId="38" fontId="2" fillId="0" borderId="91" xfId="1" applyFont="1" applyBorder="1" applyAlignment="1">
      <alignment horizontal="right"/>
    </xf>
    <xf numFmtId="0" fontId="3" fillId="0" borderId="81" xfId="0" applyFont="1" applyFill="1" applyBorder="1" applyAlignment="1"/>
    <xf numFmtId="38" fontId="2" fillId="0" borderId="118" xfId="1" applyFont="1" applyBorder="1" applyAlignment="1">
      <alignment horizontal="right"/>
    </xf>
    <xf numFmtId="38" fontId="2" fillId="0" borderId="74" xfId="1" applyFont="1" applyBorder="1" applyAlignment="1">
      <alignment horizontal="right"/>
    </xf>
    <xf numFmtId="38" fontId="2" fillId="0" borderId="119" xfId="1" applyFont="1" applyBorder="1" applyAlignment="1">
      <alignment horizontal="right"/>
    </xf>
    <xf numFmtId="0" fontId="9" fillId="0" borderId="71" xfId="0" applyFont="1" applyFill="1" applyBorder="1" applyAlignment="1"/>
    <xf numFmtId="180" fontId="2" fillId="0" borderId="120" xfId="0" applyNumberFormat="1" applyFont="1" applyBorder="1" applyAlignment="1"/>
    <xf numFmtId="38" fontId="2" fillId="0" borderId="64" xfId="1" applyFont="1" applyBorder="1" applyAlignment="1"/>
    <xf numFmtId="38" fontId="2" fillId="0" borderId="121" xfId="1" applyFont="1" applyBorder="1" applyAlignment="1"/>
    <xf numFmtId="38" fontId="2" fillId="0" borderId="125" xfId="1" applyFont="1" applyBorder="1" applyAlignment="1"/>
    <xf numFmtId="38" fontId="2" fillId="0" borderId="126" xfId="1" applyFont="1" applyBorder="1" applyAlignment="1"/>
    <xf numFmtId="38" fontId="2" fillId="0" borderId="113" xfId="1" applyFont="1" applyBorder="1" applyAlignment="1">
      <alignment horizontal="right"/>
    </xf>
    <xf numFmtId="38" fontId="2" fillId="0" borderId="127" xfId="1" applyFont="1" applyBorder="1" applyAlignment="1"/>
    <xf numFmtId="38" fontId="2" fillId="0" borderId="127" xfId="1" applyFont="1" applyBorder="1" applyAlignment="1">
      <alignment horizontal="right"/>
    </xf>
    <xf numFmtId="180" fontId="2" fillId="0" borderId="128" xfId="0" applyNumberFormat="1" applyFont="1" applyBorder="1" applyAlignment="1"/>
    <xf numFmtId="38" fontId="2" fillId="0" borderId="129" xfId="1" applyFont="1" applyBorder="1" applyAlignment="1"/>
    <xf numFmtId="38" fontId="2" fillId="0" borderId="130" xfId="1" applyFont="1" applyBorder="1" applyAlignment="1">
      <alignment horizontal="right"/>
    </xf>
    <xf numFmtId="38" fontId="2" fillId="0" borderId="57" xfId="1" applyFont="1" applyBorder="1" applyAlignment="1"/>
    <xf numFmtId="38" fontId="2" fillId="0" borderId="57" xfId="1" applyFont="1" applyBorder="1" applyAlignment="1">
      <alignment horizontal="right"/>
    </xf>
    <xf numFmtId="0" fontId="2" fillId="0" borderId="29" xfId="0" applyFont="1" applyBorder="1" applyAlignment="1"/>
    <xf numFmtId="38" fontId="2" fillId="0" borderId="75" xfId="1" applyFont="1" applyBorder="1" applyAlignment="1"/>
    <xf numFmtId="38" fontId="2" fillId="0" borderId="105" xfId="1" applyFont="1" applyBorder="1" applyAlignment="1">
      <alignment horizontal="right"/>
    </xf>
    <xf numFmtId="9" fontId="2" fillId="0" borderId="0" xfId="4" applyFont="1" applyBorder="1" applyAlignment="1"/>
    <xf numFmtId="9" fontId="2" fillId="0" borderId="18" xfId="4" applyFont="1" applyBorder="1" applyAlignment="1"/>
    <xf numFmtId="38" fontId="2" fillId="0" borderId="0" xfId="0" applyNumberFormat="1" applyFont="1" applyBorder="1" applyAlignment="1"/>
    <xf numFmtId="38" fontId="0" fillId="0" borderId="78" xfId="1" applyFont="1" applyFill="1" applyBorder="1">
      <alignment vertical="center"/>
    </xf>
    <xf numFmtId="38" fontId="0" fillId="0" borderId="53" xfId="1" applyFont="1" applyFill="1" applyBorder="1">
      <alignment vertical="center"/>
    </xf>
    <xf numFmtId="178" fontId="0" fillId="0" borderId="123" xfId="2" applyNumberFormat="1" applyFont="1" applyFill="1" applyBorder="1">
      <alignment vertical="center"/>
    </xf>
    <xf numFmtId="178" fontId="0" fillId="0" borderId="124" xfId="2" applyNumberFormat="1" applyFont="1" applyFill="1" applyBorder="1">
      <alignment vertical="center"/>
    </xf>
    <xf numFmtId="178" fontId="0" fillId="0" borderId="139" xfId="2" applyNumberFormat="1" applyFont="1" applyFill="1" applyBorder="1">
      <alignment vertical="center"/>
    </xf>
    <xf numFmtId="38" fontId="2" fillId="0" borderId="43" xfId="1" applyFont="1" applyFill="1" applyBorder="1" applyAlignment="1"/>
    <xf numFmtId="38" fontId="2" fillId="0" borderId="1" xfId="1" applyFont="1" applyFill="1" applyBorder="1" applyAlignment="1"/>
    <xf numFmtId="38" fontId="2" fillId="0" borderId="59" xfId="1" applyFont="1" applyFill="1" applyBorder="1" applyAlignment="1"/>
    <xf numFmtId="38" fontId="0" fillId="0" borderId="82" xfId="1" applyFont="1" applyFill="1" applyBorder="1">
      <alignment vertical="center"/>
    </xf>
    <xf numFmtId="9" fontId="31" fillId="14" borderId="38" xfId="2" applyFont="1" applyFill="1" applyBorder="1" applyAlignment="1">
      <alignment horizontal="center" vertical="center"/>
    </xf>
    <xf numFmtId="9" fontId="32" fillId="14" borderId="35" xfId="0" applyNumberFormat="1" applyFont="1" applyFill="1" applyBorder="1" applyAlignment="1">
      <alignment horizontal="center" vertical="center"/>
    </xf>
    <xf numFmtId="9" fontId="30" fillId="14" borderId="36" xfId="2" applyFont="1" applyFill="1" applyBorder="1" applyAlignment="1">
      <alignment horizontal="center" vertical="center"/>
    </xf>
    <xf numFmtId="38" fontId="7" fillId="0" borderId="63" xfId="1" applyFont="1" applyFill="1" applyBorder="1">
      <alignment vertical="center"/>
    </xf>
    <xf numFmtId="0" fontId="16" fillId="0" borderId="2" xfId="0" applyFont="1" applyBorder="1" applyAlignment="1">
      <alignment horizontal="center"/>
    </xf>
    <xf numFmtId="0" fontId="2" fillId="0" borderId="30" xfId="3" applyNumberFormat="1" applyFont="1" applyBorder="1" applyAlignment="1">
      <alignment horizontal="center"/>
    </xf>
    <xf numFmtId="0" fontId="18" fillId="0" borderId="140" xfId="0" applyFont="1" applyBorder="1" applyAlignment="1">
      <alignment horizontal="left"/>
    </xf>
    <xf numFmtId="9" fontId="2" fillId="0" borderId="30" xfId="2" applyFont="1" applyBorder="1" applyAlignment="1">
      <alignment horizontal="right"/>
    </xf>
    <xf numFmtId="9" fontId="2" fillId="0" borderId="141" xfId="2" applyFont="1" applyBorder="1" applyAlignment="1">
      <alignment horizontal="right"/>
    </xf>
    <xf numFmtId="180" fontId="2" fillId="0" borderId="63" xfId="0" applyNumberFormat="1" applyFont="1" applyBorder="1" applyAlignment="1"/>
    <xf numFmtId="38" fontId="2" fillId="0" borderId="64" xfId="1" applyFont="1" applyBorder="1" applyAlignment="1">
      <alignment horizontal="right"/>
    </xf>
    <xf numFmtId="38" fontId="2" fillId="0" borderId="142" xfId="1" applyFont="1" applyBorder="1" applyAlignment="1">
      <alignment horizontal="right"/>
    </xf>
    <xf numFmtId="0" fontId="3" fillId="0" borderId="71" xfId="0" applyFont="1" applyFill="1" applyBorder="1" applyAlignment="1"/>
    <xf numFmtId="177" fontId="3" fillId="0" borderId="48" xfId="0" applyNumberFormat="1" applyFont="1" applyBorder="1" applyAlignment="1"/>
    <xf numFmtId="177" fontId="3" fillId="0" borderId="143" xfId="0" applyNumberFormat="1" applyFont="1" applyBorder="1" applyAlignment="1"/>
    <xf numFmtId="0" fontId="35" fillId="0" borderId="0" xfId="0" applyFont="1" applyFill="1" applyBorder="1" applyAlignment="1"/>
    <xf numFmtId="0" fontId="2" fillId="0" borderId="45" xfId="0" applyFont="1" applyFill="1" applyBorder="1" applyAlignment="1"/>
    <xf numFmtId="0" fontId="2" fillId="0" borderId="144" xfId="0" applyFont="1" applyFill="1" applyBorder="1" applyAlignment="1"/>
    <xf numFmtId="0" fontId="3" fillId="0" borderId="43" xfId="0" applyFont="1" applyFill="1" applyBorder="1" applyAlignment="1"/>
    <xf numFmtId="38" fontId="20" fillId="0" borderId="64" xfId="1" applyFont="1" applyFill="1" applyBorder="1">
      <alignment vertical="center"/>
    </xf>
    <xf numFmtId="0" fontId="2" fillId="0" borderId="65" xfId="0" applyFont="1" applyFill="1" applyBorder="1" applyAlignment="1"/>
    <xf numFmtId="177" fontId="3" fillId="0" borderId="66" xfId="0" applyNumberFormat="1" applyFont="1" applyBorder="1" applyAlignment="1"/>
    <xf numFmtId="0" fontId="2" fillId="0" borderId="102" xfId="0" applyFont="1" applyBorder="1" applyAlignment="1"/>
    <xf numFmtId="38" fontId="2" fillId="0" borderId="55" xfId="1" applyFont="1" applyBorder="1" applyAlignment="1"/>
    <xf numFmtId="38" fontId="2" fillId="0" borderId="108" xfId="1" applyFont="1" applyBorder="1" applyAlignment="1"/>
    <xf numFmtId="38" fontId="2" fillId="0" borderId="51" xfId="1" applyFont="1" applyBorder="1" applyAlignment="1"/>
    <xf numFmtId="0" fontId="22" fillId="0" borderId="0" xfId="0" applyFont="1" applyFill="1" applyBorder="1" applyAlignment="1"/>
    <xf numFmtId="0" fontId="22" fillId="0" borderId="48" xfId="0" applyFont="1" applyFill="1" applyBorder="1" applyAlignment="1"/>
    <xf numFmtId="0" fontId="36" fillId="13" borderId="114" xfId="0" applyFont="1" applyFill="1" applyBorder="1">
      <alignment vertical="center"/>
    </xf>
    <xf numFmtId="0" fontId="37" fillId="13" borderId="29" xfId="0" applyFont="1" applyFill="1" applyBorder="1">
      <alignment vertical="center"/>
    </xf>
    <xf numFmtId="0" fontId="36" fillId="13" borderId="70" xfId="0" applyFont="1" applyFill="1" applyBorder="1">
      <alignment vertical="center"/>
    </xf>
    <xf numFmtId="0" fontId="38" fillId="0" borderId="0" xfId="0" applyFont="1">
      <alignment vertical="center"/>
    </xf>
    <xf numFmtId="0" fontId="39" fillId="0" borderId="10" xfId="0" applyFont="1" applyFill="1" applyBorder="1">
      <alignment vertical="center"/>
    </xf>
    <xf numFmtId="0" fontId="39" fillId="0" borderId="11" xfId="0" applyFont="1" applyFill="1" applyBorder="1">
      <alignment vertical="center"/>
    </xf>
    <xf numFmtId="0" fontId="39" fillId="0" borderId="12" xfId="0" applyFont="1" applyFill="1" applyBorder="1">
      <alignment vertical="center"/>
    </xf>
    <xf numFmtId="0" fontId="39" fillId="0" borderId="10" xfId="0" applyFont="1" applyBorder="1">
      <alignment vertical="center"/>
    </xf>
    <xf numFmtId="0" fontId="39" fillId="0" borderId="11" xfId="0" applyFont="1" applyBorder="1">
      <alignment vertical="center"/>
    </xf>
    <xf numFmtId="0" fontId="42" fillId="0" borderId="12" xfId="0" applyFont="1" applyBorder="1">
      <alignment vertical="center"/>
    </xf>
    <xf numFmtId="0" fontId="36" fillId="13" borderId="115" xfId="0" applyFont="1" applyFill="1" applyBorder="1">
      <alignment vertical="center"/>
    </xf>
    <xf numFmtId="0" fontId="37" fillId="13" borderId="5" xfId="0" applyFont="1" applyFill="1" applyBorder="1">
      <alignment vertical="center"/>
    </xf>
    <xf numFmtId="0" fontId="36" fillId="13" borderId="7" xfId="0" applyFont="1" applyFill="1" applyBorder="1">
      <alignment vertical="center"/>
    </xf>
    <xf numFmtId="0" fontId="39" fillId="0" borderId="20" xfId="0" applyFont="1" applyBorder="1">
      <alignment vertical="center"/>
    </xf>
    <xf numFmtId="0" fontId="39" fillId="0" borderId="21" xfId="0" applyFont="1" applyBorder="1">
      <alignment vertical="center"/>
    </xf>
    <xf numFmtId="0" fontId="39" fillId="0" borderId="22" xfId="0" applyFont="1" applyBorder="1">
      <alignment vertical="center"/>
    </xf>
    <xf numFmtId="0" fontId="39" fillId="0" borderId="12" xfId="0" applyFont="1" applyBorder="1">
      <alignment vertical="center"/>
    </xf>
    <xf numFmtId="0" fontId="39" fillId="0" borderId="134" xfId="0" applyFont="1" applyBorder="1">
      <alignment vertical="center"/>
    </xf>
    <xf numFmtId="0" fontId="39" fillId="0" borderId="15" xfId="0" applyFont="1" applyBorder="1">
      <alignment vertical="center"/>
    </xf>
    <xf numFmtId="0" fontId="25" fillId="0" borderId="28" xfId="0" applyFont="1" applyBorder="1">
      <alignment vertical="center"/>
    </xf>
    <xf numFmtId="0" fontId="39" fillId="0" borderId="137" xfId="0" applyFont="1" applyBorder="1">
      <alignment vertical="center"/>
    </xf>
    <xf numFmtId="0" fontId="39" fillId="0" borderId="138" xfId="0" applyFont="1" applyBorder="1">
      <alignment vertical="center"/>
    </xf>
    <xf numFmtId="0" fontId="39" fillId="0" borderId="145" xfId="0" applyFont="1" applyBorder="1">
      <alignment vertical="center"/>
    </xf>
    <xf numFmtId="0" fontId="25" fillId="0" borderId="136" xfId="0" applyFont="1" applyBorder="1">
      <alignment vertical="center"/>
    </xf>
    <xf numFmtId="0" fontId="39" fillId="0" borderId="137" xfId="0" applyFont="1" applyFill="1" applyBorder="1">
      <alignment vertical="center"/>
    </xf>
    <xf numFmtId="0" fontId="39" fillId="0" borderId="22" xfId="0" applyFont="1" applyFill="1" applyBorder="1">
      <alignment vertical="center"/>
    </xf>
    <xf numFmtId="0" fontId="39" fillId="0" borderId="19" xfId="0" applyFont="1" applyBorder="1">
      <alignment vertical="center"/>
    </xf>
    <xf numFmtId="0" fontId="39" fillId="0" borderId="8" xfId="0" applyFont="1" applyBorder="1">
      <alignment vertical="center"/>
    </xf>
    <xf numFmtId="0" fontId="39" fillId="0" borderId="9" xfId="0" applyFont="1" applyBorder="1">
      <alignment vertical="center"/>
    </xf>
    <xf numFmtId="0" fontId="39" fillId="0" borderId="13" xfId="0" applyFont="1" applyBorder="1">
      <alignment vertical="center"/>
    </xf>
    <xf numFmtId="0" fontId="41" fillId="0" borderId="0" xfId="0" applyFont="1" applyBorder="1">
      <alignment vertical="center"/>
    </xf>
    <xf numFmtId="0" fontId="42" fillId="0" borderId="10" xfId="0" applyFont="1" applyBorder="1">
      <alignment vertical="center"/>
    </xf>
    <xf numFmtId="0" fontId="36" fillId="13" borderId="35" xfId="0" applyFont="1" applyFill="1" applyBorder="1">
      <alignment vertical="center"/>
    </xf>
    <xf numFmtId="0" fontId="37" fillId="13" borderId="36" xfId="0" applyFont="1" applyFill="1" applyBorder="1">
      <alignment vertical="center"/>
    </xf>
    <xf numFmtId="0" fontId="36" fillId="13" borderId="37" xfId="0" applyFont="1" applyFill="1" applyBorder="1">
      <alignment vertical="center"/>
    </xf>
    <xf numFmtId="0" fontId="39" fillId="0" borderId="133" xfId="0" applyFont="1" applyBorder="1">
      <alignment vertical="center"/>
    </xf>
    <xf numFmtId="38" fontId="39" fillId="0" borderId="25" xfId="1" applyFont="1" applyBorder="1">
      <alignment vertical="center"/>
    </xf>
    <xf numFmtId="38" fontId="42" fillId="0" borderId="18" xfId="1" applyFont="1" applyBorder="1">
      <alignment vertical="center"/>
    </xf>
    <xf numFmtId="38" fontId="39" fillId="0" borderId="18" xfId="1" applyFont="1" applyBorder="1">
      <alignment vertical="center"/>
    </xf>
    <xf numFmtId="38" fontId="39" fillId="0" borderId="132" xfId="1" applyFont="1" applyBorder="1">
      <alignment vertical="center"/>
    </xf>
    <xf numFmtId="0" fontId="45" fillId="0" borderId="0" xfId="0" applyFont="1" applyAlignment="1">
      <alignment vertical="center" wrapText="1"/>
    </xf>
    <xf numFmtId="0" fontId="45" fillId="0" borderId="0" xfId="0" applyFont="1" applyAlignment="1">
      <alignment vertical="center"/>
    </xf>
    <xf numFmtId="0" fontId="45" fillId="0" borderId="0" xfId="0" applyFont="1" applyBorder="1" applyAlignment="1"/>
    <xf numFmtId="0" fontId="47" fillId="0" borderId="0" xfId="0" applyFont="1" applyBorder="1">
      <alignment vertical="center"/>
    </xf>
    <xf numFmtId="0" fontId="23" fillId="0" borderId="0" xfId="0" applyFont="1">
      <alignment vertical="center"/>
    </xf>
    <xf numFmtId="0" fontId="48" fillId="16" borderId="0" xfId="0" applyFont="1" applyFill="1" applyBorder="1" applyAlignment="1">
      <alignment horizontal="center" vertical="center"/>
    </xf>
    <xf numFmtId="0" fontId="35" fillId="0" borderId="150" xfId="0" applyFont="1" applyFill="1" applyBorder="1" applyAlignment="1">
      <alignment horizontal="center" vertical="center"/>
    </xf>
    <xf numFmtId="0" fontId="47" fillId="0" borderId="0" xfId="0" applyFont="1">
      <alignment vertical="center"/>
    </xf>
    <xf numFmtId="0" fontId="48" fillId="13" borderId="148" xfId="0" applyFont="1" applyFill="1" applyBorder="1" applyAlignment="1">
      <alignment horizontal="center" vertical="center"/>
    </xf>
    <xf numFmtId="0" fontId="49" fillId="0" borderId="150" xfId="0" applyFont="1" applyFill="1" applyBorder="1" applyAlignment="1">
      <alignment horizontal="center" vertical="center"/>
    </xf>
    <xf numFmtId="0" fontId="35" fillId="0" borderId="151" xfId="0" applyFont="1" applyFill="1" applyBorder="1" applyAlignment="1">
      <alignment horizontal="center" vertical="center"/>
    </xf>
    <xf numFmtId="0" fontId="48" fillId="18" borderId="148" xfId="0" applyFont="1" applyFill="1" applyBorder="1" applyAlignment="1">
      <alignment horizontal="center" vertical="center"/>
    </xf>
    <xf numFmtId="0" fontId="45" fillId="0" borderId="0" xfId="0" applyFont="1">
      <alignment vertical="center"/>
    </xf>
    <xf numFmtId="0" fontId="48" fillId="17" borderId="148" xfId="0" applyFont="1" applyFill="1" applyBorder="1" applyAlignment="1">
      <alignment horizontal="center" vertical="center"/>
    </xf>
    <xf numFmtId="0" fontId="48" fillId="19" borderId="148" xfId="0" applyFont="1" applyFill="1" applyBorder="1" applyAlignment="1">
      <alignment horizontal="center" vertical="center"/>
    </xf>
    <xf numFmtId="2" fontId="23" fillId="0" borderId="0" xfId="0" applyNumberFormat="1" applyFont="1">
      <alignment vertical="center"/>
    </xf>
    <xf numFmtId="38" fontId="23" fillId="0" borderId="0" xfId="1" applyFont="1">
      <alignment vertical="center"/>
    </xf>
    <xf numFmtId="38" fontId="23" fillId="0" borderId="0" xfId="0" applyNumberFormat="1" applyFont="1">
      <alignment vertical="center"/>
    </xf>
    <xf numFmtId="0" fontId="50" fillId="0" borderId="0" xfId="0" applyFont="1">
      <alignment vertical="center"/>
    </xf>
    <xf numFmtId="0" fontId="49" fillId="0" borderId="152" xfId="0" applyFont="1" applyFill="1" applyBorder="1" applyAlignment="1">
      <alignment horizontal="center" vertical="center"/>
    </xf>
    <xf numFmtId="0" fontId="35" fillId="0" borderId="154" xfId="0" applyFont="1" applyFill="1" applyBorder="1" applyAlignment="1">
      <alignment horizontal="center" vertical="center"/>
    </xf>
    <xf numFmtId="0" fontId="35" fillId="0" borderId="152" xfId="0" applyFont="1" applyFill="1" applyBorder="1" applyAlignment="1">
      <alignment horizontal="center" vertical="center"/>
    </xf>
    <xf numFmtId="0" fontId="35" fillId="0" borderId="153" xfId="0" applyFont="1" applyFill="1" applyBorder="1" applyAlignment="1">
      <alignment horizontal="center" vertical="center"/>
    </xf>
    <xf numFmtId="0" fontId="35" fillId="0" borderId="155" xfId="0" applyFont="1" applyFill="1" applyBorder="1" applyAlignment="1">
      <alignment horizontal="center" vertical="center"/>
    </xf>
    <xf numFmtId="0" fontId="35" fillId="0" borderId="157" xfId="0" applyFont="1" applyFill="1" applyBorder="1" applyAlignment="1">
      <alignment horizontal="center" vertical="center"/>
    </xf>
    <xf numFmtId="0" fontId="35" fillId="0" borderId="158" xfId="0" applyFont="1" applyFill="1" applyBorder="1" applyAlignment="1">
      <alignment horizontal="center" vertical="center"/>
    </xf>
    <xf numFmtId="0" fontId="35" fillId="0" borderId="159" xfId="0" applyFont="1" applyFill="1" applyBorder="1" applyAlignment="1">
      <alignment horizontal="center" vertical="center"/>
    </xf>
    <xf numFmtId="0" fontId="35" fillId="0" borderId="160" xfId="0" applyFont="1" applyFill="1" applyBorder="1" applyAlignment="1">
      <alignment horizontal="center" vertical="center"/>
    </xf>
    <xf numFmtId="0" fontId="23" fillId="0" borderId="0" xfId="0" applyFont="1" applyAlignment="1">
      <alignment vertical="center" wrapText="1"/>
    </xf>
    <xf numFmtId="0" fontId="48" fillId="16" borderId="0" xfId="0" applyFont="1" applyFill="1" applyBorder="1" applyAlignment="1">
      <alignment horizontal="center" vertical="center" wrapText="1"/>
    </xf>
    <xf numFmtId="0" fontId="23" fillId="0" borderId="150" xfId="0" applyFont="1" applyBorder="1" applyAlignment="1">
      <alignment vertical="center" wrapText="1"/>
    </xf>
    <xf numFmtId="0" fontId="23" fillId="0" borderId="152" xfId="0" applyFont="1" applyBorder="1" applyAlignment="1">
      <alignment vertical="center" wrapText="1"/>
    </xf>
    <xf numFmtId="178" fontId="23" fillId="0" borderId="153" xfId="2" applyNumberFormat="1" applyFont="1" applyBorder="1" applyAlignment="1">
      <alignment vertical="center" wrapText="1"/>
    </xf>
    <xf numFmtId="178" fontId="23" fillId="0" borderId="150" xfId="2" applyNumberFormat="1" applyFont="1" applyBorder="1" applyAlignment="1">
      <alignment vertical="center" wrapText="1"/>
    </xf>
    <xf numFmtId="178" fontId="23" fillId="0" borderId="152" xfId="2" applyNumberFormat="1" applyFont="1" applyBorder="1" applyAlignment="1">
      <alignment vertical="center" wrapText="1"/>
    </xf>
    <xf numFmtId="0" fontId="23" fillId="0" borderId="159" xfId="0" applyFont="1" applyBorder="1" applyAlignment="1">
      <alignment vertical="center" wrapText="1"/>
    </xf>
    <xf numFmtId="0" fontId="23" fillId="0" borderId="153" xfId="0" applyFont="1" applyBorder="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47" fillId="0" borderId="0" xfId="0" applyFont="1" applyAlignment="1">
      <alignment horizontal="center" vertical="center" wrapText="1"/>
    </xf>
    <xf numFmtId="0" fontId="45" fillId="0" borderId="0" xfId="0" quotePrefix="1" applyFont="1" applyBorder="1" applyAlignment="1"/>
    <xf numFmtId="0" fontId="35" fillId="0" borderId="150" xfId="0" applyFont="1" applyFill="1" applyBorder="1" applyAlignment="1">
      <alignment horizontal="right" vertical="center"/>
    </xf>
    <xf numFmtId="0" fontId="24" fillId="0" borderId="0" xfId="0" applyFont="1" applyAlignment="1"/>
    <xf numFmtId="0" fontId="24" fillId="0" borderId="0" xfId="0" applyFont="1" applyBorder="1" applyAlignment="1"/>
    <xf numFmtId="0" fontId="46" fillId="0" borderId="0" xfId="0" applyFont="1">
      <alignment vertical="center"/>
    </xf>
    <xf numFmtId="0" fontId="24" fillId="4" borderId="35" xfId="0" applyFont="1" applyFill="1" applyBorder="1" applyAlignment="1">
      <alignment horizontal="center"/>
    </xf>
    <xf numFmtId="0" fontId="24" fillId="4" borderId="38" xfId="0" applyFont="1" applyFill="1" applyBorder="1" applyAlignment="1">
      <alignment horizontal="center"/>
    </xf>
    <xf numFmtId="179" fontId="24" fillId="4" borderId="46" xfId="0" applyNumberFormat="1" applyFont="1" applyFill="1" applyBorder="1" applyAlignment="1">
      <alignment horizontal="center"/>
    </xf>
    <xf numFmtId="179" fontId="24" fillId="4" borderId="37" xfId="0" applyNumberFormat="1" applyFont="1" applyFill="1" applyBorder="1" applyAlignment="1">
      <alignment horizontal="center"/>
    </xf>
    <xf numFmtId="0" fontId="45" fillId="0" borderId="122" xfId="0" applyFont="1" applyBorder="1">
      <alignment vertical="center"/>
    </xf>
    <xf numFmtId="0" fontId="22" fillId="0" borderId="16" xfId="0" applyFont="1" applyFill="1" applyBorder="1" applyAlignment="1"/>
    <xf numFmtId="0" fontId="45" fillId="0" borderId="16" xfId="0" applyFont="1" applyBorder="1">
      <alignment vertical="center"/>
    </xf>
    <xf numFmtId="0" fontId="45" fillId="0" borderId="48" xfId="0" applyFont="1" applyBorder="1">
      <alignment vertical="center"/>
    </xf>
    <xf numFmtId="38" fontId="48" fillId="16" borderId="0" xfId="1" applyFont="1" applyFill="1" applyBorder="1" applyAlignment="1">
      <alignment horizontal="center" vertical="center"/>
    </xf>
    <xf numFmtId="38" fontId="35" fillId="0" borderId="150" xfId="1" applyFont="1" applyFill="1" applyBorder="1" applyAlignment="1">
      <alignment horizontal="center" vertical="center"/>
    </xf>
    <xf numFmtId="38" fontId="35" fillId="0" borderId="154" xfId="1" applyFont="1" applyFill="1" applyBorder="1" applyAlignment="1">
      <alignment horizontal="center" vertical="center"/>
    </xf>
    <xf numFmtId="38" fontId="35" fillId="15" borderId="155" xfId="1" applyFont="1" applyFill="1" applyBorder="1" applyAlignment="1">
      <alignment horizontal="center" vertical="center"/>
    </xf>
    <xf numFmtId="38" fontId="35" fillId="0" borderId="151" xfId="1" applyFont="1" applyFill="1" applyBorder="1" applyAlignment="1">
      <alignment horizontal="center" vertical="center"/>
    </xf>
    <xf numFmtId="38" fontId="35" fillId="0" borderId="157" xfId="1" applyFont="1" applyFill="1" applyBorder="1" applyAlignment="1">
      <alignment horizontal="center" vertical="center"/>
    </xf>
    <xf numFmtId="38" fontId="35" fillId="0" borderId="152" xfId="1" applyFont="1" applyFill="1" applyBorder="1" applyAlignment="1">
      <alignment horizontal="center" vertical="center"/>
    </xf>
    <xf numFmtId="38" fontId="35" fillId="0" borderId="160" xfId="1" applyFont="1" applyFill="1" applyBorder="1" applyAlignment="1">
      <alignment horizontal="center" vertical="center"/>
    </xf>
    <xf numFmtId="38" fontId="35" fillId="0" borderId="159" xfId="1" applyFont="1" applyFill="1" applyBorder="1" applyAlignment="1">
      <alignment horizontal="center" vertical="center"/>
    </xf>
    <xf numFmtId="179" fontId="24" fillId="4" borderId="101" xfId="0" applyNumberFormat="1" applyFont="1" applyFill="1" applyBorder="1" applyAlignment="1">
      <alignment horizontal="center"/>
    </xf>
    <xf numFmtId="38" fontId="45" fillId="0" borderId="161" xfId="0" applyNumberFormat="1" applyFont="1" applyBorder="1">
      <alignment vertical="center"/>
    </xf>
    <xf numFmtId="0" fontId="45" fillId="0" borderId="0" xfId="0" applyFont="1" applyBorder="1">
      <alignment vertical="center"/>
    </xf>
    <xf numFmtId="38" fontId="45" fillId="0" borderId="0" xfId="0" applyNumberFormat="1" applyFont="1" applyBorder="1">
      <alignment vertical="center"/>
    </xf>
    <xf numFmtId="0" fontId="22" fillId="0" borderId="27" xfId="0" applyFont="1" applyFill="1" applyBorder="1" applyAlignment="1"/>
    <xf numFmtId="0" fontId="45" fillId="0" borderId="18" xfId="0" applyFont="1" applyBorder="1">
      <alignment vertical="center"/>
    </xf>
    <xf numFmtId="0" fontId="45" fillId="0" borderId="27" xfId="0" applyFont="1" applyBorder="1">
      <alignment vertical="center"/>
    </xf>
    <xf numFmtId="0" fontId="24" fillId="0" borderId="0" xfId="0" applyFont="1" applyFill="1" applyBorder="1" applyAlignment="1"/>
    <xf numFmtId="38" fontId="24" fillId="0" borderId="0" xfId="0" applyNumberFormat="1" applyFont="1" applyFill="1" applyBorder="1" applyAlignment="1"/>
    <xf numFmtId="0" fontId="24" fillId="0" borderId="16" xfId="0" applyFont="1" applyFill="1" applyBorder="1" applyAlignment="1"/>
    <xf numFmtId="0" fontId="35" fillId="0" borderId="6" xfId="0" applyFont="1" applyFill="1" applyBorder="1" applyAlignment="1"/>
    <xf numFmtId="0" fontId="24" fillId="0" borderId="48" xfId="0" applyFont="1" applyFill="1" applyBorder="1" applyAlignment="1"/>
    <xf numFmtId="176" fontId="24" fillId="0" borderId="6" xfId="0" applyNumberFormat="1" applyFont="1" applyFill="1" applyBorder="1" applyAlignment="1"/>
    <xf numFmtId="38" fontId="24" fillId="0" borderId="161" xfId="0" applyNumberFormat="1" applyFont="1" applyFill="1" applyBorder="1" applyAlignment="1"/>
    <xf numFmtId="0" fontId="35" fillId="0" borderId="23" xfId="0" applyFont="1" applyFill="1" applyBorder="1" applyAlignment="1"/>
    <xf numFmtId="0" fontId="35" fillId="0" borderId="31" xfId="0" applyFont="1" applyFill="1" applyBorder="1" applyAlignment="1"/>
    <xf numFmtId="0" fontId="35" fillId="0" borderId="25" xfId="0" applyFont="1" applyFill="1" applyBorder="1" applyAlignment="1"/>
    <xf numFmtId="38" fontId="24" fillId="0" borderId="18" xfId="0" applyNumberFormat="1" applyFont="1" applyFill="1" applyBorder="1" applyAlignment="1"/>
    <xf numFmtId="38" fontId="24" fillId="0" borderId="163" xfId="0" applyNumberFormat="1" applyFont="1" applyFill="1" applyBorder="1" applyAlignment="1"/>
    <xf numFmtId="0" fontId="22" fillId="0" borderId="67" xfId="0" applyFont="1" applyFill="1" applyBorder="1" applyAlignment="1"/>
    <xf numFmtId="0" fontId="31" fillId="20" borderId="16" xfId="0" applyFont="1" applyFill="1" applyBorder="1">
      <alignment vertical="center"/>
    </xf>
    <xf numFmtId="0" fontId="31" fillId="20" borderId="0" xfId="0" applyFont="1" applyFill="1" applyBorder="1">
      <alignment vertical="center"/>
    </xf>
    <xf numFmtId="0" fontId="24" fillId="4" borderId="36" xfId="0" applyFont="1" applyFill="1" applyBorder="1" applyAlignment="1">
      <alignment horizontal="center"/>
    </xf>
    <xf numFmtId="0" fontId="35" fillId="0" borderId="18" xfId="0" applyFont="1" applyFill="1" applyBorder="1" applyAlignment="1"/>
    <xf numFmtId="0" fontId="46" fillId="0" borderId="18" xfId="0" applyFont="1" applyBorder="1">
      <alignment vertical="center"/>
    </xf>
    <xf numFmtId="9" fontId="35" fillId="0" borderId="0" xfId="0" applyNumberFormat="1" applyFont="1" applyFill="1" applyBorder="1" applyAlignment="1">
      <alignment horizontal="left" vertical="center"/>
    </xf>
    <xf numFmtId="38" fontId="35" fillId="0" borderId="0" xfId="1" applyFont="1" applyFill="1" applyBorder="1" applyAlignment="1">
      <alignment horizontal="left" vertical="center"/>
    </xf>
    <xf numFmtId="0" fontId="35" fillId="0" borderId="6" xfId="0" applyFont="1" applyFill="1" applyBorder="1" applyAlignment="1">
      <alignment horizontal="left" vertical="center"/>
    </xf>
    <xf numFmtId="0" fontId="32" fillId="20" borderId="0" xfId="0" applyFont="1" applyFill="1" applyBorder="1" applyAlignment="1">
      <alignment horizontal="left" vertical="center"/>
    </xf>
    <xf numFmtId="0" fontId="45" fillId="0" borderId="23" xfId="0" applyFont="1" applyBorder="1">
      <alignment vertical="center"/>
    </xf>
    <xf numFmtId="0" fontId="45" fillId="0" borderId="25" xfId="0" applyFont="1" applyBorder="1">
      <alignment vertical="center"/>
    </xf>
    <xf numFmtId="38" fontId="45" fillId="0" borderId="0" xfId="1" applyFont="1" applyBorder="1">
      <alignment vertical="center"/>
    </xf>
    <xf numFmtId="38" fontId="45" fillId="0" borderId="6" xfId="1" applyFont="1" applyBorder="1">
      <alignment vertical="center"/>
    </xf>
    <xf numFmtId="38" fontId="24" fillId="0" borderId="162" xfId="1" applyFont="1" applyBorder="1" applyAlignment="1"/>
    <xf numFmtId="38" fontId="24" fillId="0" borderId="51" xfId="1" applyFont="1" applyBorder="1" applyAlignment="1"/>
    <xf numFmtId="38" fontId="24" fillId="0" borderId="27" xfId="1" applyFont="1" applyBorder="1" applyAlignment="1"/>
    <xf numFmtId="38" fontId="24" fillId="0" borderId="0" xfId="1" applyFont="1" applyAlignment="1"/>
    <xf numFmtId="38" fontId="35" fillId="4" borderId="38" xfId="1" applyFont="1" applyFill="1" applyBorder="1" applyAlignment="1">
      <alignment horizontal="center"/>
    </xf>
    <xf numFmtId="38" fontId="45" fillId="0" borderId="0" xfId="1" applyFont="1">
      <alignment vertical="center"/>
    </xf>
    <xf numFmtId="38" fontId="45" fillId="0" borderId="106" xfId="1" applyFont="1" applyBorder="1">
      <alignment vertical="center"/>
    </xf>
    <xf numFmtId="38" fontId="45" fillId="0" borderId="51" xfId="1" applyFont="1" applyBorder="1">
      <alignment vertical="center"/>
    </xf>
    <xf numFmtId="38" fontId="45" fillId="0" borderId="131" xfId="1" applyFont="1" applyBorder="1">
      <alignment vertical="center"/>
    </xf>
    <xf numFmtId="0" fontId="46" fillId="0" borderId="23" xfId="0" applyFont="1" applyBorder="1">
      <alignment vertical="center"/>
    </xf>
    <xf numFmtId="0" fontId="46" fillId="0" borderId="0" xfId="0" applyFont="1" applyBorder="1">
      <alignment vertical="center"/>
    </xf>
    <xf numFmtId="38" fontId="45" fillId="0" borderId="18" xfId="1" applyFont="1" applyBorder="1">
      <alignment vertical="center"/>
    </xf>
    <xf numFmtId="0" fontId="35" fillId="4" borderId="36" xfId="0" applyFont="1" applyFill="1" applyBorder="1" applyAlignment="1">
      <alignment horizontal="center"/>
    </xf>
    <xf numFmtId="0" fontId="45" fillId="0" borderId="35" xfId="0" applyFont="1" applyBorder="1">
      <alignment vertical="center"/>
    </xf>
    <xf numFmtId="0" fontId="46" fillId="0" borderId="36" xfId="0" applyFont="1" applyBorder="1">
      <alignment vertical="center"/>
    </xf>
    <xf numFmtId="0" fontId="45" fillId="0" borderId="36" xfId="0" applyFont="1" applyBorder="1">
      <alignment vertical="center"/>
    </xf>
    <xf numFmtId="38" fontId="45" fillId="0" borderId="36" xfId="0" applyNumberFormat="1" applyFont="1" applyBorder="1">
      <alignment vertical="center"/>
    </xf>
    <xf numFmtId="38" fontId="35" fillId="0" borderId="155" xfId="1" applyFont="1" applyFill="1" applyBorder="1" applyAlignment="1">
      <alignment horizontal="center" vertical="center"/>
    </xf>
    <xf numFmtId="38" fontId="45" fillId="0" borderId="0" xfId="0" applyNumberFormat="1" applyFont="1">
      <alignment vertical="center"/>
    </xf>
    <xf numFmtId="0" fontId="45" fillId="0" borderId="38" xfId="0" applyFont="1" applyBorder="1">
      <alignment vertical="center"/>
    </xf>
    <xf numFmtId="0" fontId="45" fillId="0" borderId="29" xfId="0" applyFont="1" applyBorder="1">
      <alignment vertical="center"/>
    </xf>
    <xf numFmtId="38" fontId="45" fillId="0" borderId="29" xfId="1" applyFont="1" applyBorder="1">
      <alignment vertical="center"/>
    </xf>
    <xf numFmtId="38" fontId="24" fillId="0" borderId="165" xfId="1" applyFont="1" applyBorder="1" applyAlignment="1"/>
    <xf numFmtId="0" fontId="46" fillId="0" borderId="0" xfId="0" applyFont="1" applyBorder="1" applyAlignment="1">
      <alignment horizontal="left" vertical="center"/>
    </xf>
    <xf numFmtId="176" fontId="24" fillId="0" borderId="106" xfId="1" applyNumberFormat="1" applyFont="1" applyBorder="1" applyAlignment="1"/>
    <xf numFmtId="38" fontId="35" fillId="4" borderId="36" xfId="1" applyFont="1" applyFill="1" applyBorder="1" applyAlignment="1">
      <alignment horizontal="center"/>
    </xf>
    <xf numFmtId="38" fontId="45" fillId="0" borderId="169" xfId="1" applyFont="1" applyBorder="1">
      <alignment vertical="center"/>
    </xf>
    <xf numFmtId="38" fontId="45" fillId="0" borderId="170" xfId="1" applyFont="1" applyBorder="1">
      <alignment vertical="center"/>
    </xf>
    <xf numFmtId="38" fontId="35" fillId="4" borderId="171" xfId="1" applyFont="1" applyFill="1" applyBorder="1" applyAlignment="1">
      <alignment horizontal="center"/>
    </xf>
    <xf numFmtId="38" fontId="45" fillId="0" borderId="51" xfId="0" applyNumberFormat="1" applyFont="1" applyBorder="1">
      <alignment vertical="center"/>
    </xf>
    <xf numFmtId="38" fontId="35" fillId="4" borderId="47" xfId="1" applyFont="1" applyFill="1" applyBorder="1" applyAlignment="1">
      <alignment horizontal="center"/>
    </xf>
    <xf numFmtId="38" fontId="45" fillId="0" borderId="131" xfId="0" applyNumberFormat="1" applyFont="1" applyBorder="1">
      <alignment vertical="center"/>
    </xf>
    <xf numFmtId="38" fontId="22" fillId="0" borderId="168" xfId="1" applyFont="1" applyBorder="1" applyAlignment="1"/>
    <xf numFmtId="38" fontId="22" fillId="0" borderId="51" xfId="1" applyFont="1" applyBorder="1" applyAlignment="1"/>
    <xf numFmtId="0" fontId="35" fillId="0" borderId="114" xfId="0" applyFont="1" applyFill="1" applyBorder="1" applyAlignment="1">
      <alignment horizontal="left" vertical="center"/>
    </xf>
    <xf numFmtId="0" fontId="35" fillId="0" borderId="23" xfId="0" applyFont="1" applyFill="1" applyBorder="1" applyAlignment="1">
      <alignment horizontal="left" vertical="center"/>
    </xf>
    <xf numFmtId="0" fontId="35" fillId="0" borderId="18" xfId="0" applyFont="1" applyFill="1" applyBorder="1" applyAlignment="1">
      <alignment horizontal="left" vertical="center"/>
    </xf>
    <xf numFmtId="9" fontId="53" fillId="0" borderId="0" xfId="0" applyNumberFormat="1" applyFont="1" applyBorder="1">
      <alignment vertical="center"/>
    </xf>
    <xf numFmtId="179" fontId="24" fillId="4" borderId="86" xfId="0" applyNumberFormat="1" applyFont="1" applyFill="1" applyBorder="1" applyAlignment="1">
      <alignment horizontal="center"/>
    </xf>
    <xf numFmtId="38" fontId="24" fillId="0" borderId="177" xfId="1" applyFont="1" applyBorder="1" applyAlignment="1"/>
    <xf numFmtId="38" fontId="35" fillId="4" borderId="178" xfId="1" applyFont="1" applyFill="1" applyBorder="1" applyAlignment="1">
      <alignment horizontal="center"/>
    </xf>
    <xf numFmtId="38" fontId="24" fillId="0" borderId="164" xfId="1" applyFont="1" applyBorder="1" applyAlignment="1"/>
    <xf numFmtId="38" fontId="24" fillId="0" borderId="106" xfId="1" applyFont="1" applyBorder="1" applyAlignment="1"/>
    <xf numFmtId="38" fontId="24" fillId="20" borderId="177" xfId="1" applyFont="1" applyFill="1" applyBorder="1" applyAlignment="1"/>
    <xf numFmtId="38" fontId="24" fillId="20" borderId="51" xfId="1" applyFont="1" applyFill="1" applyBorder="1" applyAlignment="1"/>
    <xf numFmtId="38" fontId="22" fillId="0" borderId="179" xfId="1" applyFont="1" applyBorder="1" applyAlignment="1"/>
    <xf numFmtId="38" fontId="22" fillId="0" borderId="176" xfId="1" applyFont="1" applyBorder="1" applyAlignment="1"/>
    <xf numFmtId="38" fontId="22" fillId="0" borderId="162" xfId="1" applyFont="1" applyBorder="1" applyAlignment="1"/>
    <xf numFmtId="38" fontId="22" fillId="0" borderId="180" xfId="1" applyFont="1" applyBorder="1" applyAlignment="1"/>
    <xf numFmtId="38" fontId="22" fillId="0" borderId="177" xfId="1" applyFont="1" applyBorder="1" applyAlignment="1"/>
    <xf numFmtId="38" fontId="22" fillId="0" borderId="181" xfId="1" applyFont="1" applyBorder="1" applyAlignment="1"/>
    <xf numFmtId="38" fontId="22" fillId="0" borderId="165" xfId="1" applyFont="1" applyBorder="1" applyAlignment="1"/>
    <xf numFmtId="38" fontId="22" fillId="0" borderId="131" xfId="1" applyFont="1" applyBorder="1" applyAlignment="1"/>
    <xf numFmtId="0" fontId="0" fillId="21" borderId="0" xfId="0" applyFill="1">
      <alignment vertical="center"/>
    </xf>
    <xf numFmtId="9" fontId="35" fillId="10" borderId="153" xfId="0" applyNumberFormat="1" applyFont="1" applyFill="1" applyBorder="1" applyAlignment="1">
      <alignment horizontal="center" vertical="center"/>
    </xf>
    <xf numFmtId="9" fontId="35" fillId="10" borderId="156" xfId="0" applyNumberFormat="1" applyFont="1" applyFill="1" applyBorder="1" applyAlignment="1">
      <alignment horizontal="center" vertical="center"/>
    </xf>
    <xf numFmtId="9" fontId="35" fillId="10" borderId="150" xfId="0" applyNumberFormat="1" applyFont="1" applyFill="1" applyBorder="1" applyAlignment="1">
      <alignment horizontal="center" vertical="center"/>
    </xf>
    <xf numFmtId="0" fontId="35" fillId="10" borderId="159" xfId="0" applyFont="1" applyFill="1" applyBorder="1" applyAlignment="1">
      <alignment horizontal="center" vertical="center"/>
    </xf>
    <xf numFmtId="0" fontId="0" fillId="9" borderId="0" xfId="0" applyFill="1">
      <alignment vertical="center"/>
    </xf>
    <xf numFmtId="38" fontId="49" fillId="0" borderId="151" xfId="1" applyFont="1" applyFill="1" applyBorder="1" applyAlignment="1">
      <alignment horizontal="center" vertical="center"/>
    </xf>
    <xf numFmtId="38" fontId="49" fillId="0" borderId="155" xfId="1" applyFont="1" applyFill="1" applyBorder="1" applyAlignment="1">
      <alignment horizontal="center" vertical="center"/>
    </xf>
    <xf numFmtId="38" fontId="0" fillId="0" borderId="0" xfId="0" applyNumberFormat="1">
      <alignment vertical="center"/>
    </xf>
    <xf numFmtId="0" fontId="45" fillId="0" borderId="0" xfId="8" applyFont="1" applyAlignment="1">
      <alignment vertical="center"/>
    </xf>
    <xf numFmtId="0" fontId="45" fillId="0" borderId="0" xfId="8" applyFont="1" applyAlignment="1">
      <alignment vertical="center" wrapText="1"/>
    </xf>
    <xf numFmtId="0" fontId="35" fillId="0" borderId="0" xfId="8">
      <alignment vertical="center"/>
    </xf>
    <xf numFmtId="0" fontId="31" fillId="18" borderId="0" xfId="8" applyFont="1" applyFill="1" applyAlignment="1">
      <alignment vertical="center"/>
    </xf>
    <xf numFmtId="0" fontId="31" fillId="17" borderId="0" xfId="8" applyFont="1" applyFill="1" applyAlignment="1">
      <alignment vertical="center"/>
    </xf>
    <xf numFmtId="9" fontId="31" fillId="17" borderId="0" xfId="8" applyNumberFormat="1" applyFont="1" applyFill="1" applyAlignment="1">
      <alignment vertical="center" wrapText="1"/>
    </xf>
    <xf numFmtId="0" fontId="46" fillId="10" borderId="0" xfId="8" applyFont="1" applyFill="1" applyAlignment="1">
      <alignment vertical="center"/>
    </xf>
    <xf numFmtId="0" fontId="45" fillId="17" borderId="0" xfId="8" applyFont="1" applyFill="1" applyAlignment="1">
      <alignment vertical="center"/>
    </xf>
    <xf numFmtId="0" fontId="45" fillId="17" borderId="0" xfId="8" applyFont="1" applyFill="1" applyAlignment="1">
      <alignment vertical="center" wrapText="1"/>
    </xf>
    <xf numFmtId="0" fontId="45" fillId="10" borderId="0" xfId="8" applyFont="1" applyFill="1" applyAlignment="1">
      <alignment vertical="center"/>
    </xf>
    <xf numFmtId="0" fontId="32" fillId="13" borderId="0" xfId="0" applyFont="1" applyFill="1">
      <alignment vertical="center"/>
    </xf>
    <xf numFmtId="0" fontId="0" fillId="13" borderId="0" xfId="0" applyFill="1">
      <alignment vertical="center"/>
    </xf>
    <xf numFmtId="0" fontId="32" fillId="14" borderId="0" xfId="0" applyFont="1" applyFill="1">
      <alignment vertical="center"/>
    </xf>
    <xf numFmtId="0" fontId="32" fillId="7" borderId="0" xfId="0" applyFont="1" applyFill="1">
      <alignment vertical="center"/>
    </xf>
    <xf numFmtId="0" fontId="0" fillId="0" borderId="0" xfId="0" applyAlignment="1">
      <alignment vertical="center" wrapText="1"/>
    </xf>
    <xf numFmtId="0" fontId="32" fillId="13" borderId="0" xfId="0" applyFont="1" applyFill="1" applyAlignment="1">
      <alignment vertical="center" wrapText="1"/>
    </xf>
    <xf numFmtId="0" fontId="32" fillId="14" borderId="0" xfId="0" applyFont="1" applyFill="1" applyAlignment="1">
      <alignment horizontal="center" vertical="center" wrapText="1"/>
    </xf>
    <xf numFmtId="0" fontId="32" fillId="7" borderId="0" xfId="0" applyFont="1" applyFill="1" applyAlignment="1">
      <alignment horizontal="center" vertical="center" wrapText="1"/>
    </xf>
    <xf numFmtId="178" fontId="0" fillId="0" borderId="0" xfId="0" applyNumberFormat="1">
      <alignment vertical="center"/>
    </xf>
    <xf numFmtId="178" fontId="0" fillId="0" borderId="0" xfId="10" applyNumberFormat="1" applyFont="1">
      <alignment vertical="center"/>
    </xf>
    <xf numFmtId="0" fontId="23" fillId="0" borderId="0" xfId="0" applyFont="1" applyAlignment="1">
      <alignment horizontal="right" vertical="center"/>
    </xf>
    <xf numFmtId="178" fontId="23" fillId="0" borderId="0" xfId="2" applyNumberFormat="1" applyFont="1" applyAlignment="1">
      <alignment horizontal="right" vertical="center"/>
    </xf>
    <xf numFmtId="38" fontId="24" fillId="0" borderId="0" xfId="1" applyFont="1" applyFill="1" applyBorder="1" applyAlignment="1"/>
    <xf numFmtId="38" fontId="24" fillId="4" borderId="46" xfId="1" applyFont="1" applyFill="1" applyBorder="1" applyAlignment="1">
      <alignment horizontal="center"/>
    </xf>
    <xf numFmtId="38" fontId="24" fillId="0" borderId="6" xfId="1" applyFont="1" applyFill="1" applyBorder="1" applyAlignment="1"/>
    <xf numFmtId="38" fontId="24" fillId="0" borderId="18" xfId="1" applyFont="1" applyFill="1" applyBorder="1" applyAlignment="1"/>
    <xf numFmtId="38" fontId="31" fillId="20" borderId="0" xfId="1" applyFont="1" applyFill="1" applyBorder="1">
      <alignment vertical="center"/>
    </xf>
    <xf numFmtId="38" fontId="45" fillId="0" borderId="36" xfId="1" applyFont="1" applyBorder="1">
      <alignment vertical="center"/>
    </xf>
    <xf numFmtId="9" fontId="31" fillId="18" borderId="0" xfId="8" applyNumberFormat="1" applyFont="1" applyFill="1" applyAlignment="1">
      <alignment vertical="center"/>
    </xf>
    <xf numFmtId="38" fontId="45" fillId="0" borderId="177" xfId="1" applyFont="1" applyBorder="1" applyAlignment="1"/>
    <xf numFmtId="178" fontId="0" fillId="0" borderId="0" xfId="2" applyNumberFormat="1" applyFont="1">
      <alignment vertical="center"/>
    </xf>
    <xf numFmtId="9" fontId="35" fillId="10" borderId="182" xfId="0" applyNumberFormat="1" applyFont="1" applyFill="1" applyBorder="1" applyAlignment="1">
      <alignment horizontal="center" vertical="center"/>
    </xf>
    <xf numFmtId="0" fontId="35" fillId="10" borderId="182" xfId="0" applyFont="1" applyFill="1" applyBorder="1" applyAlignment="1">
      <alignment horizontal="center" vertical="center"/>
    </xf>
    <xf numFmtId="38" fontId="35" fillId="0" borderId="150" xfId="0" applyNumberFormat="1" applyFont="1" applyFill="1" applyBorder="1" applyAlignment="1">
      <alignment horizontal="right" vertical="center"/>
    </xf>
    <xf numFmtId="38" fontId="45" fillId="9" borderId="0" xfId="1" applyFont="1" applyFill="1" applyBorder="1">
      <alignment vertical="center"/>
    </xf>
    <xf numFmtId="0" fontId="38" fillId="0" borderId="0" xfId="0" applyFont="1" applyAlignment="1">
      <alignment horizontal="left" vertical="center"/>
    </xf>
    <xf numFmtId="38" fontId="57" fillId="0" borderId="56" xfId="1" applyFont="1" applyBorder="1" applyAlignment="1">
      <alignment horizontal="right"/>
    </xf>
    <xf numFmtId="38" fontId="2" fillId="0" borderId="56" xfId="1" applyNumberFormat="1" applyFont="1" applyBorder="1" applyAlignment="1"/>
    <xf numFmtId="0" fontId="0" fillId="0" borderId="0" xfId="0" applyFont="1">
      <alignment vertical="center"/>
    </xf>
    <xf numFmtId="176" fontId="0" fillId="0" borderId="0" xfId="1" applyNumberFormat="1" applyFont="1">
      <alignment vertical="center"/>
    </xf>
    <xf numFmtId="176" fontId="0" fillId="0" borderId="0" xfId="0" applyNumberFormat="1">
      <alignment vertical="center"/>
    </xf>
    <xf numFmtId="0" fontId="3" fillId="0" borderId="23" xfId="0" applyFont="1" applyBorder="1" applyAlignment="1">
      <alignment horizontal="left" indent="1"/>
    </xf>
    <xf numFmtId="0" fontId="3" fillId="0" borderId="31" xfId="0" applyFont="1" applyBorder="1" applyAlignment="1">
      <alignment horizontal="left" indent="1"/>
    </xf>
    <xf numFmtId="0" fontId="3" fillId="0" borderId="48" xfId="0" applyFont="1" applyBorder="1" applyAlignment="1"/>
    <xf numFmtId="176" fontId="7" fillId="0" borderId="2" xfId="1" applyNumberFormat="1" applyFont="1" applyBorder="1">
      <alignment vertical="center"/>
    </xf>
    <xf numFmtId="38" fontId="7" fillId="0" borderId="2" xfId="1" applyFont="1" applyBorder="1">
      <alignment vertical="center"/>
    </xf>
    <xf numFmtId="0" fontId="18" fillId="5" borderId="114" xfId="0" applyFont="1" applyFill="1" applyBorder="1" applyAlignment="1"/>
    <xf numFmtId="0" fontId="16" fillId="5" borderId="122" xfId="0" applyFont="1" applyFill="1" applyBorder="1" applyAlignment="1"/>
    <xf numFmtId="0" fontId="39" fillId="10" borderId="21" xfId="0" applyFont="1" applyFill="1" applyBorder="1">
      <alignment vertical="center"/>
    </xf>
    <xf numFmtId="0" fontId="39" fillId="15" borderId="21" xfId="0" applyFont="1" applyFill="1" applyBorder="1">
      <alignment vertical="center"/>
    </xf>
    <xf numFmtId="0" fontId="6" fillId="15" borderId="22" xfId="0" applyFont="1" applyFill="1" applyBorder="1">
      <alignment vertical="center"/>
    </xf>
    <xf numFmtId="0" fontId="6" fillId="15" borderId="12" xfId="0" applyFont="1" applyFill="1" applyBorder="1">
      <alignment vertical="center"/>
    </xf>
    <xf numFmtId="0" fontId="6" fillId="15" borderId="183" xfId="0" applyFont="1" applyFill="1" applyBorder="1">
      <alignment vertical="center"/>
    </xf>
    <xf numFmtId="0" fontId="44" fillId="10" borderId="11" xfId="0" applyFont="1" applyFill="1" applyBorder="1">
      <alignment vertical="center"/>
    </xf>
    <xf numFmtId="0" fontId="44" fillId="15" borderId="11" xfId="0" applyFont="1" applyFill="1" applyBorder="1">
      <alignment vertical="center"/>
    </xf>
    <xf numFmtId="9" fontId="2" fillId="0" borderId="33" xfId="0" applyNumberFormat="1" applyFont="1" applyBorder="1" applyAlignment="1"/>
    <xf numFmtId="180" fontId="2" fillId="0" borderId="53" xfId="0" applyNumberFormat="1" applyFont="1" applyFill="1" applyBorder="1" applyAlignment="1"/>
    <xf numFmtId="38" fontId="2" fillId="0" borderId="59" xfId="0" applyNumberFormat="1" applyFont="1" applyBorder="1" applyAlignment="1"/>
    <xf numFmtId="178" fontId="2" fillId="0" borderId="33" xfId="2" applyNumberFormat="1" applyFont="1" applyBorder="1" applyAlignment="1"/>
    <xf numFmtId="178" fontId="2" fillId="0" borderId="92" xfId="2" applyNumberFormat="1" applyFont="1" applyBorder="1" applyAlignment="1"/>
    <xf numFmtId="0" fontId="58" fillId="14" borderId="0" xfId="0" applyFont="1" applyFill="1" applyAlignment="1">
      <alignment vertical="center" wrapText="1"/>
    </xf>
    <xf numFmtId="0" fontId="12" fillId="14" borderId="0" xfId="0" applyFont="1" applyFill="1" applyBorder="1" applyAlignment="1">
      <alignment vertical="center"/>
    </xf>
    <xf numFmtId="38" fontId="12" fillId="14" borderId="0" xfId="1" applyFont="1" applyFill="1" applyBorder="1" applyAlignment="1">
      <alignment vertical="center"/>
    </xf>
    <xf numFmtId="0" fontId="59" fillId="14" borderId="0" xfId="0" applyFont="1" applyFill="1">
      <alignment vertical="center"/>
    </xf>
    <xf numFmtId="0" fontId="2" fillId="0" borderId="0" xfId="0" applyFont="1" applyFill="1" applyBorder="1">
      <alignment vertical="center"/>
    </xf>
    <xf numFmtId="0" fontId="0" fillId="0" borderId="0" xfId="0" applyFont="1" applyFill="1" applyBorder="1">
      <alignment vertical="center"/>
    </xf>
    <xf numFmtId="0" fontId="3" fillId="0" borderId="31" xfId="0" applyFont="1" applyBorder="1">
      <alignment vertical="center"/>
    </xf>
    <xf numFmtId="0" fontId="3" fillId="0" borderId="13" xfId="0" applyFont="1" applyBorder="1">
      <alignment vertical="center"/>
    </xf>
    <xf numFmtId="0" fontId="3" fillId="0" borderId="184" xfId="0" applyFont="1" applyBorder="1">
      <alignment vertical="center"/>
    </xf>
    <xf numFmtId="0" fontId="3" fillId="0" borderId="112" xfId="0" applyFont="1" applyFill="1" applyBorder="1" applyAlignment="1">
      <alignment vertical="center"/>
    </xf>
    <xf numFmtId="0" fontId="3" fillId="0" borderId="186" xfId="0" applyFont="1" applyBorder="1">
      <alignment vertical="center"/>
    </xf>
    <xf numFmtId="0" fontId="3" fillId="0" borderId="31" xfId="0" applyFont="1" applyBorder="1" applyAlignment="1"/>
    <xf numFmtId="38" fontId="7" fillId="0" borderId="30" xfId="1" applyFont="1" applyBorder="1">
      <alignment vertical="center"/>
    </xf>
    <xf numFmtId="38" fontId="7" fillId="0" borderId="189" xfId="1" applyFont="1" applyBorder="1">
      <alignment vertical="center"/>
    </xf>
    <xf numFmtId="180" fontId="2" fillId="0" borderId="106" xfId="0" applyNumberFormat="1" applyFont="1" applyBorder="1" applyAlignment="1"/>
    <xf numFmtId="180" fontId="2" fillId="0" borderId="105" xfId="0" applyNumberFormat="1" applyFont="1" applyBorder="1" applyAlignment="1"/>
    <xf numFmtId="0" fontId="39" fillId="15" borderId="11" xfId="0" applyFont="1" applyFill="1" applyBorder="1">
      <alignment vertical="center"/>
    </xf>
    <xf numFmtId="176" fontId="7" fillId="0" borderId="30" xfId="1" applyNumberFormat="1" applyFont="1" applyBorder="1">
      <alignment vertical="center"/>
    </xf>
    <xf numFmtId="176" fontId="7" fillId="0" borderId="189" xfId="1" applyNumberFormat="1" applyFont="1" applyBorder="1">
      <alignment vertical="center"/>
    </xf>
    <xf numFmtId="38" fontId="3" fillId="0" borderId="16" xfId="0" applyNumberFormat="1" applyFont="1" applyBorder="1" applyAlignment="1"/>
    <xf numFmtId="180" fontId="2" fillId="0" borderId="87" xfId="0" applyNumberFormat="1" applyFont="1" applyBorder="1" applyAlignment="1"/>
    <xf numFmtId="38" fontId="2" fillId="0" borderId="15" xfId="1" applyFont="1" applyBorder="1" applyAlignment="1"/>
    <xf numFmtId="38" fontId="2" fillId="0" borderId="3" xfId="1" applyFont="1" applyBorder="1" applyAlignment="1"/>
    <xf numFmtId="0" fontId="3" fillId="0" borderId="23" xfId="0" applyFont="1" applyFill="1" applyBorder="1" applyAlignment="1"/>
    <xf numFmtId="180" fontId="2" fillId="0" borderId="30" xfId="0" applyNumberFormat="1" applyFont="1" applyBorder="1" applyAlignment="1"/>
    <xf numFmtId="180" fontId="2" fillId="0" borderId="175" xfId="0" applyNumberFormat="1" applyFont="1" applyBorder="1" applyAlignment="1"/>
    <xf numFmtId="180" fontId="2" fillId="0" borderId="2" xfId="0" applyNumberFormat="1" applyFont="1" applyBorder="1" applyAlignment="1"/>
    <xf numFmtId="0" fontId="3" fillId="0" borderId="192" xfId="0" applyFont="1" applyFill="1" applyBorder="1" applyAlignment="1"/>
    <xf numFmtId="0" fontId="3" fillId="0" borderId="190" xfId="0" applyFont="1" applyBorder="1" applyAlignment="1"/>
    <xf numFmtId="38" fontId="2" fillId="0" borderId="33" xfId="1" applyFont="1" applyBorder="1" applyAlignment="1"/>
    <xf numFmtId="38" fontId="2" fillId="0" borderId="191" xfId="1" applyFont="1" applyBorder="1" applyAlignment="1"/>
    <xf numFmtId="38" fontId="2" fillId="0" borderId="60" xfId="1" applyFont="1" applyBorder="1" applyAlignment="1">
      <alignment horizontal="right"/>
    </xf>
    <xf numFmtId="38" fontId="2" fillId="0" borderId="205" xfId="1" applyFont="1" applyBorder="1" applyAlignment="1">
      <alignment horizontal="right"/>
    </xf>
    <xf numFmtId="0" fontId="2" fillId="0" borderId="59" xfId="0" applyFont="1" applyBorder="1">
      <alignment vertical="center"/>
    </xf>
    <xf numFmtId="0" fontId="2" fillId="0" borderId="48" xfId="0" applyFont="1" applyBorder="1">
      <alignment vertical="center"/>
    </xf>
    <xf numFmtId="0" fontId="2" fillId="0" borderId="188" xfId="0" applyFont="1" applyBorder="1">
      <alignment vertical="center"/>
    </xf>
    <xf numFmtId="38" fontId="2" fillId="9" borderId="167" xfId="1" applyFont="1" applyFill="1" applyBorder="1">
      <alignment vertical="center"/>
    </xf>
    <xf numFmtId="38" fontId="2" fillId="9" borderId="6" xfId="1" applyFont="1" applyFill="1" applyBorder="1" applyAlignment="1">
      <alignment horizontal="right" vertical="center"/>
    </xf>
    <xf numFmtId="38" fontId="2" fillId="9" borderId="14" xfId="1" applyFont="1" applyFill="1" applyBorder="1">
      <alignment vertical="center"/>
    </xf>
    <xf numFmtId="38" fontId="2" fillId="9" borderId="185" xfId="1" applyFont="1" applyFill="1" applyBorder="1">
      <alignment vertical="center"/>
    </xf>
    <xf numFmtId="178" fontId="2" fillId="9" borderId="187" xfId="0" applyNumberFormat="1" applyFont="1" applyFill="1" applyBorder="1">
      <alignment vertical="center"/>
    </xf>
    <xf numFmtId="0" fontId="61" fillId="0" borderId="18" xfId="0" applyFont="1" applyFill="1" applyBorder="1">
      <alignment vertical="center"/>
    </xf>
    <xf numFmtId="0" fontId="3" fillId="0" borderId="18" xfId="0" applyFont="1" applyFill="1" applyBorder="1">
      <alignment vertical="center"/>
    </xf>
    <xf numFmtId="0" fontId="2" fillId="0" borderId="18" xfId="0" applyFont="1" applyFill="1" applyBorder="1">
      <alignment vertical="center"/>
    </xf>
    <xf numFmtId="0" fontId="38" fillId="0" borderId="0" xfId="0" applyFont="1" applyAlignment="1">
      <alignment vertical="center" wrapText="1"/>
    </xf>
    <xf numFmtId="180" fontId="2" fillId="0" borderId="48" xfId="0" applyNumberFormat="1" applyFont="1" applyBorder="1" applyAlignment="1"/>
    <xf numFmtId="180" fontId="2" fillId="0" borderId="92" xfId="0" applyNumberFormat="1" applyFont="1" applyBorder="1" applyAlignment="1"/>
    <xf numFmtId="179" fontId="2" fillId="4" borderId="147" xfId="0" applyNumberFormat="1" applyFont="1" applyFill="1" applyBorder="1" applyAlignment="1">
      <alignment horizontal="center"/>
    </xf>
    <xf numFmtId="0" fontId="3" fillId="0" borderId="210" xfId="0" applyFont="1" applyFill="1" applyBorder="1" applyAlignment="1"/>
    <xf numFmtId="0" fontId="3" fillId="0" borderId="211" xfId="0" applyFont="1" applyFill="1" applyBorder="1" applyAlignment="1"/>
    <xf numFmtId="0" fontId="2" fillId="0" borderId="210" xfId="0" applyFont="1" applyFill="1" applyBorder="1" applyAlignment="1"/>
    <xf numFmtId="9" fontId="53" fillId="0" borderId="149" xfId="0" applyNumberFormat="1" applyFont="1" applyBorder="1">
      <alignment vertical="center"/>
    </xf>
    <xf numFmtId="0" fontId="35" fillId="0" borderId="149" xfId="0" applyFont="1" applyFill="1" applyBorder="1" applyAlignment="1">
      <alignment horizontal="left" vertical="center"/>
    </xf>
    <xf numFmtId="0" fontId="45" fillId="0" borderId="212" xfId="0" applyFont="1" applyBorder="1">
      <alignment vertical="center"/>
    </xf>
    <xf numFmtId="38" fontId="45" fillId="0" borderId="149" xfId="1" applyFont="1" applyBorder="1">
      <alignment vertical="center"/>
    </xf>
    <xf numFmtId="0" fontId="45" fillId="0" borderId="149" xfId="0" applyFont="1" applyBorder="1">
      <alignment vertical="center"/>
    </xf>
    <xf numFmtId="38" fontId="24" fillId="0" borderId="213" xfId="1" applyFont="1" applyBorder="1" applyAlignment="1"/>
    <xf numFmtId="38" fontId="24" fillId="0" borderId="214" xfId="1" applyFont="1" applyBorder="1" applyAlignment="1"/>
    <xf numFmtId="9" fontId="35" fillId="24" borderId="150" xfId="0" applyNumberFormat="1" applyFont="1" applyFill="1" applyBorder="1" applyAlignment="1">
      <alignment horizontal="center" vertical="center"/>
    </xf>
    <xf numFmtId="0" fontId="35" fillId="24" borderId="150" xfId="0" applyFont="1" applyFill="1" applyBorder="1" applyAlignment="1">
      <alignment horizontal="center" vertical="center"/>
    </xf>
    <xf numFmtId="9" fontId="35" fillId="24" borderId="182" xfId="0" applyNumberFormat="1" applyFont="1" applyFill="1" applyBorder="1" applyAlignment="1">
      <alignment horizontal="center" vertical="center"/>
    </xf>
    <xf numFmtId="0" fontId="35" fillId="24" borderId="182" xfId="0" applyFont="1" applyFill="1" applyBorder="1" applyAlignment="1">
      <alignment horizontal="center" vertical="center"/>
    </xf>
    <xf numFmtId="9" fontId="53" fillId="0" borderId="6" xfId="0" applyNumberFormat="1" applyFont="1" applyBorder="1">
      <alignment vertical="center"/>
    </xf>
    <xf numFmtId="0" fontId="35" fillId="0" borderId="167" xfId="0" applyFont="1" applyFill="1" applyBorder="1" applyAlignment="1">
      <alignment horizontal="left" vertical="center"/>
    </xf>
    <xf numFmtId="38" fontId="45" fillId="0" borderId="167" xfId="1" applyFont="1" applyBorder="1">
      <alignment vertical="center"/>
    </xf>
    <xf numFmtId="38" fontId="24" fillId="0" borderId="166" xfId="1" applyFont="1" applyBorder="1" applyAlignment="1"/>
    <xf numFmtId="38" fontId="24" fillId="0" borderId="60" xfId="1" applyFont="1" applyBorder="1" applyAlignment="1"/>
    <xf numFmtId="0" fontId="45" fillId="0" borderId="167" xfId="0" applyFont="1" applyBorder="1">
      <alignment vertical="center"/>
    </xf>
    <xf numFmtId="0" fontId="22" fillId="0" borderId="59" xfId="0" applyFont="1" applyFill="1" applyBorder="1" applyAlignment="1"/>
    <xf numFmtId="1" fontId="42" fillId="10" borderId="15" xfId="0" applyNumberFormat="1" applyFont="1" applyFill="1" applyBorder="1" applyAlignment="1">
      <alignment horizontal="right" vertical="center"/>
    </xf>
    <xf numFmtId="9" fontId="42" fillId="10" borderId="218" xfId="2" applyFont="1" applyFill="1" applyBorder="1" applyAlignment="1">
      <alignment horizontal="right" vertical="center"/>
    </xf>
    <xf numFmtId="9" fontId="42" fillId="15" borderId="218" xfId="2" applyFont="1" applyFill="1" applyBorder="1" applyAlignment="1">
      <alignment horizontal="right" vertical="center"/>
    </xf>
    <xf numFmtId="0" fontId="38" fillId="0" borderId="18" xfId="0" applyFont="1" applyBorder="1" applyAlignment="1">
      <alignment vertical="center" wrapText="1"/>
    </xf>
    <xf numFmtId="38" fontId="40" fillId="21" borderId="221" xfId="1" applyFont="1" applyFill="1" applyBorder="1">
      <alignment vertical="center"/>
    </xf>
    <xf numFmtId="38" fontId="40" fillId="21" borderId="0" xfId="1" applyFont="1" applyFill="1" applyBorder="1">
      <alignment vertical="center"/>
    </xf>
    <xf numFmtId="178" fontId="40" fillId="21" borderId="0" xfId="2" applyNumberFormat="1" applyFont="1" applyFill="1" applyBorder="1">
      <alignment vertical="center"/>
    </xf>
    <xf numFmtId="38" fontId="42" fillId="21" borderId="0" xfId="1" applyFont="1" applyFill="1" applyBorder="1">
      <alignment vertical="center"/>
    </xf>
    <xf numFmtId="38" fontId="42" fillId="21" borderId="6" xfId="1" applyFont="1" applyFill="1" applyBorder="1">
      <alignment vertical="center"/>
    </xf>
    <xf numFmtId="0" fontId="62" fillId="8" borderId="222" xfId="0" applyFont="1" applyFill="1" applyBorder="1" applyAlignment="1">
      <alignment horizontal="left" vertical="center"/>
    </xf>
    <xf numFmtId="0" fontId="62" fillId="8" borderId="8" xfId="0" applyFont="1" applyFill="1" applyBorder="1" applyAlignment="1">
      <alignment horizontal="center" vertical="center"/>
    </xf>
    <xf numFmtId="0" fontId="62" fillId="8" borderId="8" xfId="0" applyFont="1" applyFill="1" applyBorder="1" applyAlignment="1">
      <alignment horizontal="left" vertical="center"/>
    </xf>
    <xf numFmtId="0" fontId="62" fillId="8" borderId="217" xfId="0" applyFont="1" applyFill="1" applyBorder="1" applyAlignment="1">
      <alignment horizontal="center" vertical="center"/>
    </xf>
    <xf numFmtId="0" fontId="36" fillId="8" borderId="3" xfId="0" applyFont="1" applyFill="1" applyBorder="1" applyAlignment="1">
      <alignment horizontal="center" vertical="center"/>
    </xf>
    <xf numFmtId="0" fontId="36" fillId="8" borderId="224" xfId="0" applyFont="1" applyFill="1" applyBorder="1" applyAlignment="1">
      <alignment horizontal="left" vertical="center"/>
    </xf>
    <xf numFmtId="0" fontId="36" fillId="8" borderId="224" xfId="0" applyFont="1" applyFill="1" applyBorder="1" applyAlignment="1">
      <alignment horizontal="center" vertical="center"/>
    </xf>
    <xf numFmtId="0" fontId="36" fillId="8" borderId="223" xfId="0" applyFont="1" applyFill="1" applyBorder="1" applyAlignment="1">
      <alignment horizontal="center" vertical="center"/>
    </xf>
    <xf numFmtId="38" fontId="40" fillId="21" borderId="225" xfId="1" applyFont="1" applyFill="1" applyBorder="1">
      <alignment vertical="center"/>
    </xf>
    <xf numFmtId="38" fontId="40" fillId="21" borderId="16" xfId="1" applyFont="1" applyFill="1" applyBorder="1">
      <alignment vertical="center"/>
    </xf>
    <xf numFmtId="178" fontId="40" fillId="21" borderId="16" xfId="2" applyNumberFormat="1" applyFont="1" applyFill="1" applyBorder="1">
      <alignment vertical="center"/>
    </xf>
    <xf numFmtId="38" fontId="42" fillId="21" borderId="16" xfId="1" applyFont="1" applyFill="1" applyBorder="1">
      <alignment vertical="center"/>
    </xf>
    <xf numFmtId="38" fontId="42" fillId="21" borderId="48" xfId="1" applyFont="1" applyFill="1" applyBorder="1">
      <alignment vertical="center"/>
    </xf>
    <xf numFmtId="9" fontId="42" fillId="10" borderId="15" xfId="2" applyFont="1" applyFill="1" applyBorder="1" applyAlignment="1">
      <alignment horizontal="right" vertical="center"/>
    </xf>
    <xf numFmtId="178" fontId="40" fillId="21" borderId="225" xfId="2" applyNumberFormat="1" applyFont="1" applyFill="1" applyBorder="1">
      <alignment vertical="center"/>
    </xf>
    <xf numFmtId="178" fontId="55" fillId="21" borderId="0" xfId="2" applyNumberFormat="1" applyFont="1" applyFill="1" applyBorder="1">
      <alignment vertical="center"/>
    </xf>
    <xf numFmtId="38" fontId="43" fillId="0" borderId="226" xfId="1" applyFont="1" applyFill="1" applyBorder="1">
      <alignment vertical="center"/>
    </xf>
    <xf numFmtId="38" fontId="43" fillId="21" borderId="227" xfId="1" applyFont="1" applyFill="1" applyBorder="1">
      <alignment vertical="center"/>
    </xf>
    <xf numFmtId="9" fontId="42" fillId="10" borderId="228" xfId="2" applyFont="1" applyFill="1" applyBorder="1" applyAlignment="1">
      <alignment horizontal="right" vertical="center"/>
    </xf>
    <xf numFmtId="1" fontId="42" fillId="10" borderId="228" xfId="0" applyNumberFormat="1" applyFont="1" applyFill="1" applyBorder="1" applyAlignment="1">
      <alignment horizontal="right" vertical="center"/>
    </xf>
    <xf numFmtId="1" fontId="42" fillId="10" borderId="218" xfId="0" applyNumberFormat="1" applyFont="1" applyFill="1" applyBorder="1" applyAlignment="1">
      <alignment horizontal="right" vertical="center"/>
    </xf>
    <xf numFmtId="9" fontId="42" fillId="15" borderId="229" xfId="2" applyFont="1" applyFill="1" applyBorder="1" applyAlignment="1">
      <alignment horizontal="right" vertical="center"/>
    </xf>
    <xf numFmtId="38" fontId="43" fillId="21" borderId="21" xfId="1" applyFont="1" applyFill="1" applyBorder="1">
      <alignment vertical="center"/>
    </xf>
    <xf numFmtId="0" fontId="36" fillId="8" borderId="37" xfId="0" applyFont="1" applyFill="1" applyBorder="1" applyAlignment="1">
      <alignment horizontal="left" vertical="center"/>
    </xf>
    <xf numFmtId="0" fontId="36" fillId="8" borderId="37" xfId="0" applyFont="1" applyFill="1" applyBorder="1" applyAlignment="1">
      <alignment horizontal="center" vertical="center"/>
    </xf>
    <xf numFmtId="0" fontId="36" fillId="8" borderId="88" xfId="0" applyFont="1" applyFill="1" applyBorder="1" applyAlignment="1">
      <alignment horizontal="center" vertical="center"/>
    </xf>
    <xf numFmtId="38" fontId="42" fillId="0" borderId="231" xfId="1" applyFont="1" applyFill="1" applyBorder="1">
      <alignment vertical="center"/>
    </xf>
    <xf numFmtId="38" fontId="42" fillId="10" borderId="232" xfId="1" applyFont="1" applyFill="1" applyBorder="1" applyAlignment="1">
      <alignment horizontal="right" vertical="center"/>
    </xf>
    <xf numFmtId="9" fontId="42" fillId="10" borderId="232" xfId="2" applyFont="1" applyFill="1" applyBorder="1" applyAlignment="1">
      <alignment horizontal="right" vertical="center"/>
    </xf>
    <xf numFmtId="178" fontId="42" fillId="15" borderId="232" xfId="2" applyNumberFormat="1" applyFont="1" applyFill="1" applyBorder="1" applyAlignment="1">
      <alignment horizontal="right" vertical="center"/>
    </xf>
    <xf numFmtId="9" fontId="42" fillId="15" borderId="233" xfId="2" applyFont="1" applyFill="1" applyBorder="1" applyAlignment="1">
      <alignment horizontal="right" vertical="center"/>
    </xf>
    <xf numFmtId="178" fontId="40" fillId="21" borderId="23" xfId="2" applyNumberFormat="1" applyFont="1" applyFill="1" applyBorder="1">
      <alignment vertical="center"/>
    </xf>
    <xf numFmtId="38" fontId="42" fillId="21" borderId="23" xfId="1" applyFont="1" applyFill="1" applyBorder="1">
      <alignment vertical="center"/>
    </xf>
    <xf numFmtId="38" fontId="42" fillId="21" borderId="25" xfId="1" applyFont="1" applyFill="1" applyBorder="1">
      <alignment vertical="center"/>
    </xf>
    <xf numFmtId="38" fontId="42" fillId="21" borderId="18" xfId="1" applyFont="1" applyFill="1" applyBorder="1">
      <alignment vertical="center"/>
    </xf>
    <xf numFmtId="38" fontId="42" fillId="21" borderId="27" xfId="1" applyFont="1" applyFill="1" applyBorder="1">
      <alignment vertical="center"/>
    </xf>
    <xf numFmtId="0" fontId="36" fillId="13" borderId="234" xfId="0" applyFont="1" applyFill="1" applyBorder="1" applyAlignment="1">
      <alignment horizontal="center" vertical="center"/>
    </xf>
    <xf numFmtId="38" fontId="40" fillId="9" borderId="220" xfId="1" applyFont="1" applyFill="1" applyBorder="1">
      <alignment vertical="center"/>
    </xf>
    <xf numFmtId="178" fontId="40" fillId="9" borderId="220" xfId="2" applyNumberFormat="1" applyFont="1" applyFill="1" applyBorder="1">
      <alignment vertical="center"/>
    </xf>
    <xf numFmtId="178" fontId="40" fillId="10" borderId="220" xfId="2" applyNumberFormat="1" applyFont="1" applyFill="1" applyBorder="1">
      <alignment vertical="center"/>
    </xf>
    <xf numFmtId="38" fontId="42" fillId="10" borderId="220" xfId="1" applyFont="1" applyFill="1" applyBorder="1">
      <alignment vertical="center"/>
    </xf>
    <xf numFmtId="181" fontId="42" fillId="10" borderId="219" xfId="0" applyNumberFormat="1" applyFont="1" applyFill="1" applyBorder="1" applyAlignment="1">
      <alignment horizontal="right" vertical="center"/>
    </xf>
    <xf numFmtId="181" fontId="42" fillId="0" borderId="219" xfId="0" applyNumberFormat="1" applyFont="1" applyFill="1" applyBorder="1" applyAlignment="1">
      <alignment horizontal="right" vertical="center"/>
    </xf>
    <xf numFmtId="38" fontId="42" fillId="15" borderId="219" xfId="1" applyFont="1" applyFill="1" applyBorder="1" applyAlignment="1">
      <alignment horizontal="right" vertical="center"/>
    </xf>
    <xf numFmtId="1" fontId="42" fillId="10" borderId="219" xfId="0" applyNumberFormat="1" applyFont="1" applyFill="1" applyBorder="1" applyAlignment="1">
      <alignment horizontal="right" vertical="center"/>
    </xf>
    <xf numFmtId="38" fontId="42" fillId="15" borderId="232" xfId="1" applyFont="1" applyFill="1" applyBorder="1" applyAlignment="1">
      <alignment horizontal="right" vertical="center"/>
    </xf>
    <xf numFmtId="176" fontId="42" fillId="15" borderId="232" xfId="1" applyNumberFormat="1" applyFont="1" applyFill="1" applyBorder="1" applyAlignment="1">
      <alignment horizontal="right" vertical="center"/>
    </xf>
    <xf numFmtId="182" fontId="42" fillId="15" borderId="232" xfId="1" applyNumberFormat="1" applyFont="1" applyFill="1" applyBorder="1" applyAlignment="1">
      <alignment horizontal="right" vertical="center"/>
    </xf>
    <xf numFmtId="38" fontId="42" fillId="0" borderId="232" xfId="1" applyFont="1" applyFill="1" applyBorder="1" applyAlignment="1">
      <alignment horizontal="right" vertical="center"/>
    </xf>
    <xf numFmtId="38" fontId="42" fillId="15" borderId="3" xfId="1" applyFont="1" applyFill="1" applyBorder="1" applyAlignment="1">
      <alignment horizontal="right" vertical="center"/>
    </xf>
    <xf numFmtId="9" fontId="42" fillId="15" borderId="232" xfId="2" applyFont="1" applyFill="1" applyBorder="1" applyAlignment="1">
      <alignment horizontal="right" vertical="center"/>
    </xf>
    <xf numFmtId="38" fontId="40" fillId="21" borderId="235" xfId="1" applyFont="1" applyFill="1" applyBorder="1">
      <alignment vertical="center"/>
    </xf>
    <xf numFmtId="38" fontId="40" fillId="21" borderId="23" xfId="1" applyFont="1" applyFill="1" applyBorder="1">
      <alignment vertical="center"/>
    </xf>
    <xf numFmtId="38" fontId="42" fillId="21" borderId="31" xfId="1" applyFont="1" applyFill="1" applyBorder="1">
      <alignment vertical="center"/>
    </xf>
    <xf numFmtId="0" fontId="36" fillId="8" borderId="87" xfId="0" applyFont="1" applyFill="1" applyBorder="1" applyAlignment="1">
      <alignment horizontal="left" vertical="center"/>
    </xf>
    <xf numFmtId="181" fontId="42" fillId="10" borderId="236" xfId="0" applyNumberFormat="1" applyFont="1" applyFill="1" applyBorder="1" applyAlignment="1">
      <alignment vertical="center"/>
    </xf>
    <xf numFmtId="181" fontId="42" fillId="10" borderId="136" xfId="0" applyNumberFormat="1" applyFont="1" applyFill="1" applyBorder="1" applyAlignment="1">
      <alignment vertical="center"/>
    </xf>
    <xf numFmtId="0" fontId="36" fillId="8" borderId="76" xfId="0" applyFont="1" applyFill="1" applyBorder="1" applyAlignment="1">
      <alignment horizontal="left" vertical="center"/>
    </xf>
    <xf numFmtId="9" fontId="42" fillId="10" borderId="87" xfId="2" applyFont="1" applyFill="1" applyBorder="1" applyAlignment="1">
      <alignment horizontal="right" vertical="center"/>
    </xf>
    <xf numFmtId="1" fontId="42" fillId="10" borderId="146" xfId="0" applyNumberFormat="1" applyFont="1" applyFill="1" applyBorder="1" applyAlignment="1">
      <alignment horizontal="right" vertical="center"/>
    </xf>
    <xf numFmtId="9" fontId="42" fillId="15" borderId="238" xfId="2" applyFont="1" applyFill="1" applyBorder="1" applyAlignment="1">
      <alignment horizontal="right" vertical="center"/>
    </xf>
    <xf numFmtId="38" fontId="42" fillId="15" borderId="135" xfId="1" applyFont="1" applyFill="1" applyBorder="1" applyAlignment="1">
      <alignment horizontal="right" vertical="center"/>
    </xf>
    <xf numFmtId="38" fontId="43" fillId="21" borderId="236" xfId="1" applyFont="1" applyFill="1" applyBorder="1">
      <alignment vertical="center"/>
    </xf>
    <xf numFmtId="38" fontId="43" fillId="21" borderId="215" xfId="1" applyFont="1" applyFill="1" applyBorder="1">
      <alignment vertical="center"/>
    </xf>
    <xf numFmtId="9" fontId="42" fillId="10" borderId="239" xfId="2" applyFont="1" applyFill="1" applyBorder="1" applyAlignment="1">
      <alignment horizontal="right" vertical="center"/>
    </xf>
    <xf numFmtId="1" fontId="42" fillId="10" borderId="240" xfId="0" applyNumberFormat="1" applyFont="1" applyFill="1" applyBorder="1" applyAlignment="1">
      <alignment horizontal="right" vertical="center"/>
    </xf>
    <xf numFmtId="9" fontId="42" fillId="10" borderId="238" xfId="2" applyFont="1" applyFill="1" applyBorder="1" applyAlignment="1">
      <alignment horizontal="right" vertical="center"/>
    </xf>
    <xf numFmtId="1" fontId="42" fillId="10" borderId="135" xfId="0" applyNumberFormat="1" applyFont="1" applyFill="1" applyBorder="1" applyAlignment="1">
      <alignment horizontal="right" vertical="center"/>
    </xf>
    <xf numFmtId="9" fontId="42" fillId="15" borderId="241" xfId="2" applyFont="1" applyFill="1" applyBorder="1" applyAlignment="1">
      <alignment horizontal="right" vertical="center"/>
    </xf>
    <xf numFmtId="38" fontId="42" fillId="15" borderId="242" xfId="1" applyFont="1" applyFill="1" applyBorder="1" applyAlignment="1">
      <alignment horizontal="right" vertical="center"/>
    </xf>
    <xf numFmtId="38" fontId="43" fillId="21" borderId="28" xfId="1" applyFont="1" applyFill="1" applyBorder="1">
      <alignment vertical="center"/>
    </xf>
    <xf numFmtId="38" fontId="43" fillId="21" borderId="216" xfId="1" applyFont="1" applyFill="1" applyBorder="1">
      <alignment vertical="center"/>
    </xf>
    <xf numFmtId="0" fontId="38" fillId="0" borderId="18" xfId="0" applyFont="1" applyBorder="1" applyAlignment="1">
      <alignment vertical="center"/>
    </xf>
    <xf numFmtId="181" fontId="42" fillId="15" borderId="136" xfId="0" applyNumberFormat="1" applyFont="1" applyFill="1" applyBorder="1" applyAlignment="1">
      <alignment vertical="center"/>
    </xf>
    <xf numFmtId="181" fontId="42" fillId="15" borderId="237" xfId="0" applyNumberFormat="1" applyFont="1" applyFill="1" applyBorder="1" applyAlignment="1">
      <alignment vertical="center"/>
    </xf>
    <xf numFmtId="181" fontId="42" fillId="15" borderId="138" xfId="0" applyNumberFormat="1" applyFont="1" applyFill="1" applyBorder="1" applyAlignment="1">
      <alignment vertical="center"/>
    </xf>
    <xf numFmtId="181" fontId="42" fillId="15" borderId="230" xfId="0" applyNumberFormat="1" applyFont="1" applyFill="1" applyBorder="1" applyAlignment="1">
      <alignment vertical="center"/>
    </xf>
    <xf numFmtId="0" fontId="62" fillId="8" borderId="35" xfId="0" applyFont="1" applyFill="1" applyBorder="1" applyAlignment="1">
      <alignment horizontal="left" vertical="center"/>
    </xf>
    <xf numFmtId="0" fontId="62" fillId="8" borderId="36" xfId="0" applyFont="1" applyFill="1" applyBorder="1" applyAlignment="1">
      <alignment horizontal="center" vertical="center"/>
    </xf>
    <xf numFmtId="0" fontId="62" fillId="8" borderId="36" xfId="0" applyFont="1" applyFill="1" applyBorder="1" applyAlignment="1">
      <alignment horizontal="left" vertical="center"/>
    </xf>
    <xf numFmtId="0" fontId="62" fillId="8" borderId="38" xfId="0" applyFont="1" applyFill="1" applyBorder="1" applyAlignment="1">
      <alignment horizontal="center" vertical="center"/>
    </xf>
    <xf numFmtId="181" fontId="42" fillId="21" borderId="136" xfId="0" applyNumberFormat="1" applyFont="1" applyFill="1" applyBorder="1" applyAlignment="1">
      <alignment vertical="center"/>
    </xf>
    <xf numFmtId="181" fontId="42" fillId="21" borderId="137" xfId="0" applyNumberFormat="1" applyFont="1" applyFill="1" applyBorder="1" applyAlignment="1">
      <alignment vertical="center"/>
    </xf>
    <xf numFmtId="38" fontId="42" fillId="10" borderId="219" xfId="1" applyFont="1" applyFill="1" applyBorder="1" applyAlignment="1">
      <alignment horizontal="right" vertical="center"/>
    </xf>
    <xf numFmtId="0" fontId="39" fillId="0" borderId="236" xfId="0" applyFont="1" applyBorder="1">
      <alignment vertical="center"/>
    </xf>
    <xf numFmtId="0" fontId="39" fillId="0" borderId="31" xfId="0" applyFont="1" applyBorder="1">
      <alignment vertical="center"/>
    </xf>
    <xf numFmtId="0" fontId="0" fillId="15" borderId="0" xfId="0" applyFill="1">
      <alignment vertical="center"/>
    </xf>
    <xf numFmtId="2" fontId="0" fillId="0" borderId="0" xfId="0" applyNumberFormat="1">
      <alignment vertical="center"/>
    </xf>
    <xf numFmtId="181" fontId="0" fillId="0" borderId="0" xfId="0" applyNumberFormat="1">
      <alignment vertical="center"/>
    </xf>
    <xf numFmtId="176" fontId="54" fillId="0" borderId="0" xfId="1" applyNumberFormat="1" applyFont="1">
      <alignment vertical="center"/>
    </xf>
    <xf numFmtId="182" fontId="42" fillId="10" borderId="219" xfId="0" applyNumberFormat="1" applyFont="1" applyFill="1" applyBorder="1" applyAlignment="1">
      <alignment horizontal="right" vertical="center"/>
    </xf>
    <xf numFmtId="0" fontId="3" fillId="0" borderId="65" xfId="0" applyFont="1" applyFill="1" applyBorder="1" applyAlignment="1"/>
    <xf numFmtId="180" fontId="2" fillId="0" borderId="102" xfId="0" applyNumberFormat="1" applyFont="1" applyBorder="1" applyAlignment="1"/>
    <xf numFmtId="0" fontId="63" fillId="15" borderId="0" xfId="0" applyFont="1" applyFill="1" applyBorder="1">
      <alignment vertical="center"/>
    </xf>
    <xf numFmtId="0" fontId="0" fillId="15" borderId="0" xfId="0" applyFont="1" applyFill="1" applyBorder="1">
      <alignment vertical="center"/>
    </xf>
    <xf numFmtId="0" fontId="2" fillId="15" borderId="0" xfId="0" applyFont="1" applyFill="1">
      <alignment vertical="center"/>
    </xf>
    <xf numFmtId="0" fontId="2" fillId="15" borderId="0" xfId="0" applyFont="1" applyFill="1" applyBorder="1">
      <alignment vertical="center"/>
    </xf>
    <xf numFmtId="0" fontId="3" fillId="15" borderId="0" xfId="0" applyFont="1" applyFill="1" applyBorder="1">
      <alignment vertical="center"/>
    </xf>
    <xf numFmtId="0" fontId="67" fillId="16" borderId="112" xfId="0" applyFont="1" applyFill="1" applyBorder="1" applyAlignment="1">
      <alignment vertical="center"/>
    </xf>
    <xf numFmtId="0" fontId="67" fillId="16" borderId="49" xfId="0" applyFont="1" applyFill="1" applyBorder="1" applyAlignment="1">
      <alignment horizontal="center" vertical="center"/>
    </xf>
    <xf numFmtId="0" fontId="68" fillId="16" borderId="104" xfId="0" applyFont="1" applyFill="1" applyBorder="1" applyAlignment="1">
      <alignment vertical="center"/>
    </xf>
    <xf numFmtId="0" fontId="66" fillId="15" borderId="0" xfId="0" applyFont="1" applyFill="1" applyBorder="1">
      <alignment vertical="center"/>
    </xf>
    <xf numFmtId="0" fontId="72" fillId="0" borderId="0" xfId="0" applyFont="1">
      <alignment vertical="center"/>
    </xf>
    <xf numFmtId="0" fontId="72" fillId="0" borderId="0" xfId="0" applyFont="1" applyFill="1" applyBorder="1">
      <alignment vertical="center"/>
    </xf>
    <xf numFmtId="0" fontId="72" fillId="15" borderId="0" xfId="0" applyFont="1" applyFill="1" applyBorder="1">
      <alignment vertical="center"/>
    </xf>
    <xf numFmtId="0" fontId="72" fillId="15" borderId="0" xfId="0" applyFont="1" applyFill="1">
      <alignment vertical="center"/>
    </xf>
    <xf numFmtId="0" fontId="74" fillId="0" borderId="0" xfId="0" applyFont="1">
      <alignment vertical="center"/>
    </xf>
    <xf numFmtId="0" fontId="61" fillId="15" borderId="0" xfId="0" applyFont="1" applyFill="1" applyBorder="1">
      <alignment vertical="center"/>
    </xf>
    <xf numFmtId="0" fontId="63" fillId="10" borderId="0" xfId="0" applyFont="1" applyFill="1" applyBorder="1">
      <alignment vertical="center"/>
    </xf>
    <xf numFmtId="0" fontId="22" fillId="10" borderId="0" xfId="0" applyFont="1" applyFill="1" applyBorder="1" applyAlignment="1"/>
    <xf numFmtId="38" fontId="2" fillId="10" borderId="0" xfId="1" applyFont="1" applyFill="1" applyBorder="1" applyAlignment="1"/>
    <xf numFmtId="0" fontId="0" fillId="10" borderId="0" xfId="0" applyFont="1" applyFill="1" applyBorder="1">
      <alignment vertical="center"/>
    </xf>
    <xf numFmtId="0" fontId="2" fillId="10" borderId="0" xfId="0" applyFont="1" applyFill="1">
      <alignment vertical="center"/>
    </xf>
    <xf numFmtId="0" fontId="38" fillId="10" borderId="0" xfId="0" applyFont="1" applyFill="1" applyBorder="1">
      <alignment vertical="center"/>
    </xf>
    <xf numFmtId="0" fontId="64" fillId="10" borderId="0" xfId="0" applyFont="1" applyFill="1" applyBorder="1">
      <alignment vertical="center"/>
    </xf>
    <xf numFmtId="0" fontId="0" fillId="10" borderId="0" xfId="0" applyFill="1">
      <alignment vertical="center"/>
    </xf>
    <xf numFmtId="0" fontId="2" fillId="10" borderId="0" xfId="0" applyFont="1" applyFill="1" applyBorder="1">
      <alignment vertical="center"/>
    </xf>
    <xf numFmtId="0" fontId="43" fillId="10" borderId="0" xfId="0" applyFont="1" applyFill="1" applyBorder="1">
      <alignment vertical="center"/>
    </xf>
    <xf numFmtId="0" fontId="44" fillId="10" borderId="0" xfId="0" applyFont="1" applyFill="1" applyBorder="1">
      <alignment vertical="center"/>
    </xf>
    <xf numFmtId="0" fontId="73" fillId="15" borderId="0" xfId="0" applyFont="1" applyFill="1" applyBorder="1">
      <alignment vertical="center"/>
    </xf>
    <xf numFmtId="0" fontId="74" fillId="15" borderId="0" xfId="0" applyFont="1" applyFill="1" applyBorder="1">
      <alignment vertical="center"/>
    </xf>
    <xf numFmtId="0" fontId="63" fillId="15" borderId="18" xfId="0" applyFont="1" applyFill="1" applyBorder="1">
      <alignment vertical="center"/>
    </xf>
    <xf numFmtId="38" fontId="28" fillId="15" borderId="0" xfId="1" applyFont="1" applyFill="1" applyBorder="1" applyAlignment="1">
      <alignment horizontal="center" vertical="center"/>
    </xf>
    <xf numFmtId="0" fontId="74" fillId="15" borderId="0" xfId="0" applyFont="1" applyFill="1">
      <alignment vertical="center"/>
    </xf>
    <xf numFmtId="0" fontId="10" fillId="15" borderId="0" xfId="0" applyFont="1" applyFill="1">
      <alignment vertical="center"/>
    </xf>
    <xf numFmtId="0" fontId="28" fillId="15" borderId="0" xfId="0" applyFont="1" applyFill="1" applyBorder="1">
      <alignment vertical="center"/>
    </xf>
    <xf numFmtId="0" fontId="10" fillId="15" borderId="0" xfId="0" applyFont="1" applyFill="1" applyBorder="1">
      <alignment vertical="center"/>
    </xf>
    <xf numFmtId="38" fontId="2" fillId="15" borderId="0" xfId="1" applyFont="1" applyFill="1" applyBorder="1">
      <alignment vertical="center"/>
    </xf>
    <xf numFmtId="0" fontId="7" fillId="15" borderId="0" xfId="0" applyFont="1" applyFill="1">
      <alignment vertical="center"/>
    </xf>
    <xf numFmtId="0" fontId="0" fillId="15" borderId="0" xfId="0" applyFill="1" applyBorder="1">
      <alignment vertical="center"/>
    </xf>
    <xf numFmtId="9" fontId="0" fillId="15" borderId="0" xfId="2" applyFont="1" applyFill="1" applyBorder="1">
      <alignment vertical="center"/>
    </xf>
    <xf numFmtId="0" fontId="34" fillId="15" borderId="0" xfId="0" applyFont="1" applyFill="1" applyBorder="1">
      <alignment vertical="center"/>
    </xf>
    <xf numFmtId="38" fontId="34" fillId="15" borderId="0" xfId="1" applyFont="1" applyFill="1" applyBorder="1">
      <alignment vertical="center"/>
    </xf>
    <xf numFmtId="0" fontId="21" fillId="15" borderId="0" xfId="0" applyFont="1" applyFill="1" applyBorder="1" applyAlignment="1">
      <alignment vertical="center"/>
    </xf>
    <xf numFmtId="178" fontId="0" fillId="15" borderId="0" xfId="2" applyNumberFormat="1" applyFont="1" applyFill="1" applyBorder="1">
      <alignment vertical="center"/>
    </xf>
    <xf numFmtId="38" fontId="0" fillId="15" borderId="0" xfId="1" applyFont="1" applyFill="1" applyBorder="1">
      <alignment vertical="center"/>
    </xf>
    <xf numFmtId="0" fontId="59" fillId="15" borderId="0" xfId="0" applyFont="1" applyFill="1">
      <alignment vertical="center"/>
    </xf>
    <xf numFmtId="0" fontId="61" fillId="21" borderId="31" xfId="0" applyFont="1" applyFill="1" applyBorder="1">
      <alignment vertical="center"/>
    </xf>
    <xf numFmtId="0" fontId="66" fillId="21" borderId="48" xfId="0" applyFont="1" applyFill="1" applyBorder="1">
      <alignment vertical="center"/>
    </xf>
    <xf numFmtId="0" fontId="0" fillId="9" borderId="0" xfId="0" applyFill="1" applyBorder="1">
      <alignment vertical="center"/>
    </xf>
    <xf numFmtId="0" fontId="64" fillId="9" borderId="247" xfId="0" applyFont="1" applyFill="1" applyBorder="1">
      <alignment vertical="center"/>
    </xf>
    <xf numFmtId="0" fontId="0" fillId="9" borderId="248" xfId="0" applyFill="1" applyBorder="1">
      <alignment vertical="center"/>
    </xf>
    <xf numFmtId="0" fontId="0" fillId="9" borderId="249" xfId="0" applyFill="1" applyBorder="1">
      <alignment vertical="center"/>
    </xf>
    <xf numFmtId="0" fontId="0" fillId="9" borderId="250" xfId="0" applyFill="1" applyBorder="1">
      <alignment vertical="center"/>
    </xf>
    <xf numFmtId="0" fontId="0" fillId="9" borderId="251" xfId="0" applyFill="1" applyBorder="1">
      <alignment vertical="center"/>
    </xf>
    <xf numFmtId="0" fontId="0" fillId="9" borderId="252" xfId="0" applyFill="1" applyBorder="1">
      <alignment vertical="center"/>
    </xf>
    <xf numFmtId="0" fontId="0" fillId="9" borderId="253" xfId="0" applyFill="1" applyBorder="1">
      <alignment vertical="center"/>
    </xf>
    <xf numFmtId="0" fontId="0" fillId="9" borderId="254" xfId="0" applyFill="1" applyBorder="1">
      <alignment vertical="center"/>
    </xf>
    <xf numFmtId="0" fontId="61" fillId="21" borderId="0" xfId="0" applyFont="1" applyFill="1" applyBorder="1">
      <alignment vertical="center"/>
    </xf>
    <xf numFmtId="0" fontId="67" fillId="14" borderId="114" xfId="0" applyFont="1" applyFill="1" applyBorder="1">
      <alignment vertical="center"/>
    </xf>
    <xf numFmtId="0" fontId="68" fillId="14" borderId="29" xfId="0" applyFont="1" applyFill="1" applyBorder="1">
      <alignment vertical="center"/>
    </xf>
    <xf numFmtId="0" fontId="61" fillId="21" borderId="255" xfId="0" applyFont="1" applyFill="1" applyBorder="1">
      <alignment vertical="center"/>
    </xf>
    <xf numFmtId="0" fontId="67" fillId="14" borderId="112" xfId="0" applyFont="1" applyFill="1" applyBorder="1">
      <alignment vertical="center"/>
    </xf>
    <xf numFmtId="0" fontId="68" fillId="14" borderId="243" xfId="0" applyFont="1" applyFill="1" applyBorder="1">
      <alignment vertical="center"/>
    </xf>
    <xf numFmtId="0" fontId="68" fillId="14" borderId="114" xfId="0" applyFont="1" applyFill="1" applyBorder="1">
      <alignment vertical="center"/>
    </xf>
    <xf numFmtId="0" fontId="67" fillId="14" borderId="29" xfId="0" applyFont="1" applyFill="1" applyBorder="1" applyAlignment="1">
      <alignment horizontal="center" vertical="center"/>
    </xf>
    <xf numFmtId="0" fontId="67" fillId="14" borderId="122" xfId="0" applyFont="1" applyFill="1" applyBorder="1" applyAlignment="1">
      <alignment horizontal="center" vertical="center"/>
    </xf>
    <xf numFmtId="0" fontId="67" fillId="14" borderId="112" xfId="0" applyFont="1" applyFill="1" applyBorder="1" applyAlignment="1">
      <alignment vertical="center"/>
    </xf>
    <xf numFmtId="38" fontId="66" fillId="15" borderId="0" xfId="1" applyFont="1" applyFill="1" applyBorder="1">
      <alignment vertical="center"/>
    </xf>
    <xf numFmtId="38" fontId="66" fillId="15" borderId="0" xfId="1" applyFont="1" applyFill="1" applyBorder="1" applyAlignment="1">
      <alignment vertical="center"/>
    </xf>
    <xf numFmtId="38" fontId="66" fillId="21" borderId="0" xfId="1" applyFont="1" applyFill="1" applyBorder="1">
      <alignment vertical="center"/>
    </xf>
    <xf numFmtId="0" fontId="66" fillId="21" borderId="0" xfId="0" applyFont="1" applyFill="1" applyBorder="1">
      <alignment vertical="center"/>
    </xf>
    <xf numFmtId="0" fontId="68" fillId="14" borderId="122" xfId="0" applyFont="1" applyFill="1" applyBorder="1" applyAlignment="1">
      <alignment horizontal="center" vertical="center"/>
    </xf>
    <xf numFmtId="0" fontId="67" fillId="16" borderId="243" xfId="0" applyFont="1" applyFill="1" applyBorder="1" applyAlignment="1">
      <alignment horizontal="center" vertical="center"/>
    </xf>
    <xf numFmtId="0" fontId="68" fillId="16" borderId="244" xfId="0" applyFont="1" applyFill="1" applyBorder="1" applyAlignment="1">
      <alignment vertical="center"/>
    </xf>
    <xf numFmtId="0" fontId="66" fillId="21" borderId="259" xfId="0" applyFont="1" applyFill="1" applyBorder="1">
      <alignment vertical="center"/>
    </xf>
    <xf numFmtId="0" fontId="66" fillId="21" borderId="27" xfId="0" applyFont="1" applyFill="1" applyBorder="1">
      <alignment vertical="center"/>
    </xf>
    <xf numFmtId="38" fontId="66" fillId="21" borderId="258" xfId="1" applyFont="1" applyFill="1" applyBorder="1">
      <alignment vertical="center"/>
    </xf>
    <xf numFmtId="38" fontId="66" fillId="21" borderId="255" xfId="1" applyFont="1" applyFill="1" applyBorder="1" applyAlignment="1">
      <alignment horizontal="right" vertical="center"/>
    </xf>
    <xf numFmtId="0" fontId="67" fillId="14" borderId="243" xfId="0" applyFont="1" applyFill="1" applyBorder="1" applyAlignment="1">
      <alignment horizontal="center" vertical="center"/>
    </xf>
    <xf numFmtId="0" fontId="68" fillId="14" borderId="244" xfId="0" applyFont="1" applyFill="1" applyBorder="1" applyAlignment="1">
      <alignment vertical="center"/>
    </xf>
    <xf numFmtId="0" fontId="70" fillId="21" borderId="31" xfId="0" applyFont="1" applyFill="1" applyBorder="1" applyAlignment="1">
      <alignment horizontal="left" vertical="center"/>
    </xf>
    <xf numFmtId="0" fontId="70" fillId="21" borderId="58" xfId="0" applyFont="1" applyFill="1" applyBorder="1" applyAlignment="1">
      <alignment horizontal="left" vertical="center"/>
    </xf>
    <xf numFmtId="0" fontId="66" fillId="21" borderId="259" xfId="0" applyFont="1" applyFill="1" applyBorder="1" applyAlignment="1">
      <alignment horizontal="left" vertical="center"/>
    </xf>
    <xf numFmtId="176" fontId="66" fillId="21" borderId="258" xfId="1" applyNumberFormat="1" applyFont="1" applyFill="1" applyBorder="1">
      <alignment vertical="center"/>
    </xf>
    <xf numFmtId="0" fontId="61" fillId="21" borderId="259" xfId="0" applyFont="1" applyFill="1" applyBorder="1" applyAlignment="1">
      <alignment horizontal="left" vertical="center"/>
    </xf>
    <xf numFmtId="176" fontId="66" fillId="21" borderId="258" xfId="0" applyNumberFormat="1" applyFont="1" applyFill="1" applyBorder="1" applyAlignment="1">
      <alignment horizontal="right"/>
    </xf>
    <xf numFmtId="176" fontId="71" fillId="21" borderId="258" xfId="1" applyNumberFormat="1" applyFont="1" applyFill="1" applyBorder="1" applyAlignment="1">
      <alignment horizontal="right"/>
    </xf>
    <xf numFmtId="0" fontId="70" fillId="21" borderId="32" xfId="0" applyFont="1" applyFill="1" applyBorder="1" applyAlignment="1">
      <alignment horizontal="left" vertical="center"/>
    </xf>
    <xf numFmtId="176" fontId="71" fillId="21" borderId="33" xfId="1" applyNumberFormat="1" applyFont="1" applyFill="1" applyBorder="1" applyAlignment="1">
      <alignment horizontal="right" vertical="center"/>
    </xf>
    <xf numFmtId="38" fontId="28" fillId="21" borderId="92" xfId="1" applyFont="1" applyFill="1" applyBorder="1" applyAlignment="1">
      <alignment horizontal="left" vertical="center"/>
    </xf>
    <xf numFmtId="0" fontId="33" fillId="15" borderId="23" xfId="0" applyFont="1" applyFill="1" applyBorder="1">
      <alignment vertical="center"/>
    </xf>
    <xf numFmtId="0" fontId="69" fillId="15" borderId="0" xfId="0" applyFont="1" applyFill="1" applyBorder="1">
      <alignment vertical="center"/>
    </xf>
    <xf numFmtId="0" fontId="69" fillId="0" borderId="23" xfId="0" applyFont="1" applyBorder="1">
      <alignment vertical="center"/>
    </xf>
    <xf numFmtId="38" fontId="69" fillId="0" borderId="0" xfId="0" applyNumberFormat="1" applyFont="1" applyBorder="1">
      <alignment vertical="center"/>
    </xf>
    <xf numFmtId="0" fontId="33" fillId="0" borderId="23" xfId="0" applyFont="1" applyBorder="1">
      <alignment vertical="center"/>
    </xf>
    <xf numFmtId="0" fontId="33" fillId="0" borderId="23" xfId="0" applyFont="1" applyBorder="1" applyAlignment="1">
      <alignment vertical="center" wrapText="1"/>
    </xf>
    <xf numFmtId="0" fontId="33" fillId="0" borderId="25" xfId="0" applyFont="1" applyBorder="1">
      <alignment vertical="center"/>
    </xf>
    <xf numFmtId="38" fontId="69" fillId="0" borderId="18" xfId="0" applyNumberFormat="1" applyFont="1" applyBorder="1">
      <alignment vertical="center"/>
    </xf>
    <xf numFmtId="38" fontId="66" fillId="21" borderId="0" xfId="1" applyFont="1" applyFill="1" applyBorder="1" applyAlignment="1">
      <alignment vertical="center"/>
    </xf>
    <xf numFmtId="0" fontId="74" fillId="21" borderId="0" xfId="0" applyFont="1" applyFill="1">
      <alignment vertical="center"/>
    </xf>
    <xf numFmtId="0" fontId="72" fillId="21" borderId="0" xfId="0" applyFont="1" applyFill="1">
      <alignment vertical="center"/>
    </xf>
    <xf numFmtId="0" fontId="72" fillId="21" borderId="0" xfId="0" applyFont="1" applyFill="1" applyBorder="1">
      <alignment vertical="center"/>
    </xf>
    <xf numFmtId="0" fontId="73" fillId="21" borderId="0" xfId="0" applyFont="1" applyFill="1" applyBorder="1">
      <alignment vertical="center"/>
    </xf>
    <xf numFmtId="0" fontId="74" fillId="21" borderId="0" xfId="0" applyFont="1" applyFill="1" applyBorder="1">
      <alignment vertical="center"/>
    </xf>
    <xf numFmtId="0" fontId="7" fillId="21" borderId="0" xfId="0" applyFont="1" applyFill="1">
      <alignment vertical="center"/>
    </xf>
    <xf numFmtId="0" fontId="2" fillId="21" borderId="0" xfId="0" applyFont="1" applyFill="1">
      <alignment vertical="center"/>
    </xf>
    <xf numFmtId="0" fontId="2" fillId="21" borderId="0" xfId="0" applyFont="1" applyFill="1" applyBorder="1">
      <alignment vertical="center"/>
    </xf>
    <xf numFmtId="38" fontId="61" fillId="21" borderId="92" xfId="1" applyFont="1" applyFill="1" applyBorder="1" applyAlignment="1">
      <alignment horizontal="left" vertical="center"/>
    </xf>
    <xf numFmtId="176" fontId="66" fillId="21" borderId="255" xfId="1" applyNumberFormat="1" applyFont="1" applyFill="1" applyBorder="1">
      <alignment vertical="center"/>
    </xf>
    <xf numFmtId="0" fontId="61" fillId="21" borderId="256" xfId="0" applyFont="1" applyFill="1" applyBorder="1" applyAlignment="1">
      <alignment horizontal="left" vertical="center"/>
    </xf>
    <xf numFmtId="176" fontId="66" fillId="21" borderId="33" xfId="1" applyNumberFormat="1" applyFont="1" applyFill="1" applyBorder="1" applyAlignment="1">
      <alignment horizontal="right" vertical="center"/>
    </xf>
    <xf numFmtId="0" fontId="66" fillId="21" borderId="92" xfId="0" applyFont="1" applyFill="1" applyBorder="1" applyAlignment="1">
      <alignment horizontal="left" vertical="center"/>
    </xf>
    <xf numFmtId="0" fontId="61" fillId="21" borderId="92" xfId="0" applyFont="1" applyFill="1" applyBorder="1" applyAlignment="1">
      <alignment horizontal="left" vertical="center"/>
    </xf>
    <xf numFmtId="9" fontId="66" fillId="25" borderId="255" xfId="2" applyFont="1" applyFill="1" applyBorder="1">
      <alignment vertical="center"/>
    </xf>
    <xf numFmtId="0" fontId="70" fillId="0" borderId="23" xfId="0" applyFont="1" applyBorder="1">
      <alignment vertical="center"/>
    </xf>
    <xf numFmtId="38" fontId="71" fillId="0" borderId="0" xfId="0" applyNumberFormat="1" applyFont="1" applyBorder="1">
      <alignment vertical="center"/>
    </xf>
    <xf numFmtId="0" fontId="70" fillId="15" borderId="23" xfId="0" applyFont="1" applyFill="1" applyBorder="1">
      <alignment vertical="center"/>
    </xf>
    <xf numFmtId="0" fontId="71" fillId="15" borderId="0" xfId="0" applyFont="1" applyFill="1" applyBorder="1">
      <alignment vertical="center"/>
    </xf>
    <xf numFmtId="0" fontId="71" fillId="0" borderId="23" xfId="0" applyFont="1" applyBorder="1">
      <alignment vertical="center"/>
    </xf>
    <xf numFmtId="0" fontId="0" fillId="0" borderId="0" xfId="0" applyAlignment="1">
      <alignment vertical="center"/>
    </xf>
    <xf numFmtId="9" fontId="45" fillId="0" borderId="0" xfId="0" applyNumberFormat="1" applyFont="1">
      <alignment vertical="center"/>
    </xf>
    <xf numFmtId="0" fontId="45" fillId="0" borderId="16" xfId="0" applyFont="1" applyBorder="1" applyAlignment="1">
      <alignment vertical="center"/>
    </xf>
    <xf numFmtId="0" fontId="45" fillId="0" borderId="36" xfId="0" applyFont="1" applyBorder="1" applyAlignment="1">
      <alignment vertical="center"/>
    </xf>
    <xf numFmtId="0" fontId="20" fillId="15" borderId="0" xfId="0" applyFont="1" applyFill="1">
      <alignment vertical="center"/>
    </xf>
    <xf numFmtId="38" fontId="61" fillId="21" borderId="0" xfId="1" applyFont="1" applyFill="1" applyBorder="1" applyAlignment="1">
      <alignment vertical="center"/>
    </xf>
    <xf numFmtId="38" fontId="66" fillId="21" borderId="29" xfId="1" applyFont="1" applyFill="1" applyBorder="1">
      <alignment vertical="center"/>
    </xf>
    <xf numFmtId="0" fontId="66" fillId="21" borderId="29" xfId="0" applyFont="1" applyFill="1" applyBorder="1">
      <alignment vertical="center"/>
    </xf>
    <xf numFmtId="38" fontId="66" fillId="21" borderId="29" xfId="1" applyFont="1" applyFill="1" applyBorder="1" applyAlignment="1">
      <alignment vertical="center"/>
    </xf>
    <xf numFmtId="0" fontId="72" fillId="21" borderId="29" xfId="0" applyFont="1" applyFill="1" applyBorder="1">
      <alignment vertical="center"/>
    </xf>
    <xf numFmtId="0" fontId="72" fillId="21" borderId="122" xfId="0" applyFont="1" applyFill="1" applyBorder="1">
      <alignment vertical="center"/>
    </xf>
    <xf numFmtId="0" fontId="61" fillId="21" borderId="23" xfId="0" applyFont="1" applyFill="1" applyBorder="1">
      <alignment vertical="center"/>
    </xf>
    <xf numFmtId="0" fontId="72" fillId="21" borderId="16" xfId="0" applyFont="1" applyFill="1" applyBorder="1">
      <alignment vertical="center"/>
    </xf>
    <xf numFmtId="0" fontId="0" fillId="10" borderId="16" xfId="0" applyFont="1" applyFill="1" applyBorder="1">
      <alignment vertical="center"/>
    </xf>
    <xf numFmtId="0" fontId="64" fillId="10" borderId="16" xfId="0" applyFont="1" applyFill="1" applyBorder="1">
      <alignment vertical="center"/>
    </xf>
    <xf numFmtId="0" fontId="38" fillId="10" borderId="16" xfId="0" applyFont="1" applyFill="1" applyBorder="1">
      <alignment vertical="center"/>
    </xf>
    <xf numFmtId="0" fontId="0" fillId="10" borderId="0" xfId="0" applyFill="1" applyBorder="1">
      <alignment vertical="center"/>
    </xf>
    <xf numFmtId="0" fontId="43" fillId="10" borderId="16" xfId="0" applyFont="1" applyFill="1" applyBorder="1">
      <alignment vertical="center"/>
    </xf>
    <xf numFmtId="0" fontId="44" fillId="10" borderId="16" xfId="0" applyFont="1" applyFill="1" applyBorder="1">
      <alignment vertical="center"/>
    </xf>
    <xf numFmtId="38" fontId="66" fillId="21" borderId="18" xfId="1" applyFont="1" applyFill="1" applyBorder="1" applyAlignment="1">
      <alignment vertical="center"/>
    </xf>
    <xf numFmtId="0" fontId="2" fillId="10" borderId="18" xfId="0" applyFont="1" applyFill="1" applyBorder="1">
      <alignment vertical="center"/>
    </xf>
    <xf numFmtId="0" fontId="0" fillId="10" borderId="18" xfId="0" applyFill="1" applyBorder="1">
      <alignment vertical="center"/>
    </xf>
    <xf numFmtId="0" fontId="2" fillId="10" borderId="27" xfId="0" applyFont="1" applyFill="1" applyBorder="1">
      <alignment vertical="center"/>
    </xf>
    <xf numFmtId="0" fontId="75" fillId="21" borderId="29" xfId="0" applyFont="1" applyFill="1" applyBorder="1">
      <alignment vertical="center"/>
    </xf>
    <xf numFmtId="0" fontId="75" fillId="21" borderId="114" xfId="0" applyFont="1" applyFill="1" applyBorder="1">
      <alignment vertical="center"/>
    </xf>
    <xf numFmtId="0" fontId="73" fillId="21" borderId="23" xfId="0" applyFont="1" applyFill="1" applyBorder="1">
      <alignment vertical="center"/>
    </xf>
    <xf numFmtId="0" fontId="67" fillId="16" borderId="243" xfId="0" applyFont="1" applyFill="1" applyBorder="1" applyAlignment="1">
      <alignment horizontal="left" vertical="center"/>
    </xf>
    <xf numFmtId="0" fontId="61" fillId="21" borderId="262" xfId="0" applyFont="1" applyFill="1" applyBorder="1">
      <alignment vertical="center"/>
    </xf>
    <xf numFmtId="0" fontId="70" fillId="21" borderId="262" xfId="0" applyFont="1" applyFill="1" applyBorder="1" applyAlignment="1">
      <alignment horizontal="left" vertical="center"/>
    </xf>
    <xf numFmtId="38" fontId="66" fillId="21" borderId="258" xfId="1" applyFont="1" applyFill="1" applyBorder="1" applyAlignment="1">
      <alignment horizontal="left" vertical="center"/>
    </xf>
    <xf numFmtId="0" fontId="33" fillId="0" borderId="262" xfId="0" applyFont="1" applyBorder="1">
      <alignment vertical="center"/>
    </xf>
    <xf numFmtId="0" fontId="33" fillId="0" borderId="32" xfId="0" applyFont="1" applyBorder="1">
      <alignment vertical="center"/>
    </xf>
    <xf numFmtId="9" fontId="66" fillId="25" borderId="256" xfId="2" applyFont="1" applyFill="1" applyBorder="1">
      <alignment vertical="center"/>
    </xf>
    <xf numFmtId="0" fontId="67" fillId="14" borderId="49" xfId="0" applyFont="1" applyFill="1" applyBorder="1" applyAlignment="1">
      <alignment horizontal="center" vertical="center"/>
    </xf>
    <xf numFmtId="0" fontId="68" fillId="14" borderId="104" xfId="0" applyFont="1" applyFill="1" applyBorder="1" applyAlignment="1">
      <alignment vertical="center"/>
    </xf>
    <xf numFmtId="0" fontId="70" fillId="21" borderId="25" xfId="0" applyFont="1" applyFill="1" applyBorder="1" applyAlignment="1">
      <alignment horizontal="left" vertical="center"/>
    </xf>
    <xf numFmtId="176" fontId="66" fillId="21" borderId="18" xfId="1" applyNumberFormat="1" applyFont="1" applyFill="1" applyBorder="1">
      <alignment vertical="center"/>
    </xf>
    <xf numFmtId="0" fontId="61" fillId="21" borderId="27" xfId="0" applyFont="1" applyFill="1" applyBorder="1" applyAlignment="1">
      <alignment horizontal="left" vertical="center"/>
    </xf>
    <xf numFmtId="0" fontId="3" fillId="10" borderId="0" xfId="0" applyFont="1" applyFill="1">
      <alignment vertical="center"/>
    </xf>
    <xf numFmtId="0" fontId="0" fillId="10" borderId="0" xfId="0" applyFont="1" applyFill="1" applyBorder="1" applyAlignment="1">
      <alignment horizontal="right" vertical="center"/>
    </xf>
    <xf numFmtId="0" fontId="2" fillId="10" borderId="0" xfId="0" applyFont="1" applyFill="1" applyBorder="1" applyAlignment="1">
      <alignment horizontal="right" vertical="center"/>
    </xf>
    <xf numFmtId="0" fontId="61" fillId="21" borderId="258" xfId="0" applyFont="1" applyFill="1" applyBorder="1">
      <alignment vertical="center"/>
    </xf>
    <xf numFmtId="0" fontId="66" fillId="21" borderId="258" xfId="0" applyFont="1" applyFill="1" applyBorder="1">
      <alignment vertical="center"/>
    </xf>
    <xf numFmtId="0" fontId="67" fillId="14" borderId="244" xfId="0" applyFont="1" applyFill="1" applyBorder="1">
      <alignment vertical="center"/>
    </xf>
    <xf numFmtId="0" fontId="61" fillId="21" borderId="245" xfId="0" applyFont="1" applyFill="1" applyBorder="1">
      <alignment vertical="center"/>
    </xf>
    <xf numFmtId="38" fontId="66" fillId="21" borderId="246" xfId="1" applyFont="1" applyFill="1" applyBorder="1" applyAlignment="1">
      <alignment horizontal="left" vertical="center"/>
    </xf>
    <xf numFmtId="0" fontId="61" fillId="21" borderId="25" xfId="0" applyFont="1" applyFill="1" applyBorder="1">
      <alignment vertical="center"/>
    </xf>
    <xf numFmtId="9" fontId="27" fillId="0" borderId="77" xfId="2" applyFont="1" applyFill="1" applyBorder="1" applyAlignment="1">
      <alignment horizontal="right" vertical="center"/>
    </xf>
    <xf numFmtId="38" fontId="0" fillId="0" borderId="123" xfId="1" applyFont="1" applyFill="1" applyBorder="1" applyAlignment="1">
      <alignment horizontal="right" vertical="center"/>
    </xf>
    <xf numFmtId="9" fontId="27" fillId="0" borderId="52" xfId="2" applyFont="1" applyFill="1" applyBorder="1" applyAlignment="1">
      <alignment horizontal="right" vertical="center"/>
    </xf>
    <xf numFmtId="178" fontId="0" fillId="0" borderId="124" xfId="2" applyNumberFormat="1" applyFont="1" applyFill="1" applyBorder="1" applyAlignment="1">
      <alignment horizontal="right" vertical="center"/>
    </xf>
    <xf numFmtId="9" fontId="27" fillId="0" borderId="81" xfId="2" applyFont="1" applyFill="1" applyBorder="1" applyAlignment="1">
      <alignment horizontal="right" vertical="center"/>
    </xf>
    <xf numFmtId="178" fontId="0" fillId="0" borderId="139" xfId="2" applyNumberFormat="1" applyFont="1" applyFill="1" applyBorder="1" applyAlignment="1">
      <alignment horizontal="right" vertical="center"/>
    </xf>
    <xf numFmtId="0" fontId="61" fillId="21" borderId="263" xfId="0" applyFont="1" applyFill="1" applyBorder="1">
      <alignment vertical="center"/>
    </xf>
    <xf numFmtId="0" fontId="67" fillId="14" borderId="264" xfId="0" applyFont="1" applyFill="1" applyBorder="1">
      <alignment vertical="center"/>
    </xf>
    <xf numFmtId="0" fontId="66" fillId="21" borderId="263" xfId="0" applyFont="1" applyFill="1" applyBorder="1">
      <alignment vertical="center"/>
    </xf>
    <xf numFmtId="0" fontId="66" fillId="21" borderId="246" xfId="0" applyFont="1" applyFill="1" applyBorder="1">
      <alignment vertical="center"/>
    </xf>
    <xf numFmtId="0" fontId="66" fillId="21" borderId="255" xfId="0" applyFont="1" applyFill="1" applyBorder="1">
      <alignment vertical="center"/>
    </xf>
    <xf numFmtId="38" fontId="39" fillId="15" borderId="21" xfId="0" applyNumberFormat="1" applyFont="1" applyFill="1" applyBorder="1">
      <alignment vertical="center"/>
    </xf>
    <xf numFmtId="38" fontId="39" fillId="0" borderId="21" xfId="0" applyNumberFormat="1" applyFont="1" applyBorder="1">
      <alignment vertical="center"/>
    </xf>
    <xf numFmtId="0" fontId="8" fillId="15" borderId="0" xfId="0" applyFont="1" applyFill="1" applyAlignment="1">
      <alignment horizontal="right" vertical="center"/>
    </xf>
    <xf numFmtId="38" fontId="8" fillId="15" borderId="0" xfId="1" applyFont="1" applyFill="1">
      <alignment vertical="center"/>
    </xf>
    <xf numFmtId="0" fontId="8" fillId="15" borderId="0" xfId="0" applyFont="1" applyFill="1">
      <alignment vertical="center"/>
    </xf>
    <xf numFmtId="9" fontId="0" fillId="15" borderId="0" xfId="2" applyFont="1" applyFill="1">
      <alignment vertical="center"/>
    </xf>
    <xf numFmtId="0" fontId="66" fillId="21" borderId="265" xfId="0" applyFont="1" applyFill="1" applyBorder="1">
      <alignment vertical="center"/>
    </xf>
    <xf numFmtId="0" fontId="66" fillId="21" borderId="266" xfId="0" applyFont="1" applyFill="1" applyBorder="1">
      <alignment vertical="center"/>
    </xf>
    <xf numFmtId="0" fontId="67" fillId="14" borderId="243" xfId="0" applyFont="1" applyFill="1" applyBorder="1">
      <alignment vertical="center"/>
    </xf>
    <xf numFmtId="0" fontId="66" fillId="21" borderId="18" xfId="0" applyFont="1" applyFill="1" applyBorder="1">
      <alignment vertical="center"/>
    </xf>
    <xf numFmtId="38" fontId="66" fillId="21" borderId="263" xfId="1" applyFont="1" applyFill="1" applyBorder="1" applyAlignment="1">
      <alignment horizontal="left" vertical="center"/>
    </xf>
    <xf numFmtId="0" fontId="29" fillId="15" borderId="0" xfId="0" applyFont="1" applyFill="1" applyAlignment="1">
      <alignment vertical="center"/>
    </xf>
    <xf numFmtId="38" fontId="7" fillId="15" borderId="0" xfId="0" applyNumberFormat="1" applyFont="1" applyFill="1">
      <alignment vertical="center"/>
    </xf>
    <xf numFmtId="0" fontId="7" fillId="15" borderId="0" xfId="0" applyFont="1" applyFill="1" applyAlignment="1">
      <alignment horizontal="right" vertical="center"/>
    </xf>
    <xf numFmtId="0" fontId="67" fillId="14" borderId="267" xfId="0" applyFont="1" applyFill="1" applyBorder="1" applyAlignment="1">
      <alignment vertical="center"/>
    </xf>
    <xf numFmtId="38" fontId="66" fillId="21" borderId="190" xfId="1" applyFont="1" applyFill="1" applyBorder="1">
      <alignment vertical="center"/>
    </xf>
    <xf numFmtId="0" fontId="70" fillId="15" borderId="0" xfId="0" applyFont="1" applyFill="1">
      <alignment vertical="center"/>
    </xf>
    <xf numFmtId="9" fontId="0" fillId="9" borderId="0" xfId="0" applyNumberFormat="1" applyFill="1">
      <alignment vertical="center"/>
    </xf>
    <xf numFmtId="181" fontId="0" fillId="9" borderId="0" xfId="0" applyNumberFormat="1" applyFill="1">
      <alignment vertical="center"/>
    </xf>
    <xf numFmtId="0" fontId="59" fillId="7" borderId="0" xfId="0" applyFont="1" applyFill="1">
      <alignment vertical="center"/>
    </xf>
    <xf numFmtId="0" fontId="59" fillId="16" borderId="0" xfId="0" applyFont="1" applyFill="1">
      <alignment vertical="center"/>
    </xf>
    <xf numFmtId="38" fontId="0" fillId="10" borderId="0" xfId="1" applyFont="1" applyFill="1">
      <alignment vertical="center"/>
    </xf>
    <xf numFmtId="40" fontId="0" fillId="0" borderId="0" xfId="1" applyNumberFormat="1" applyFont="1">
      <alignment vertical="center"/>
    </xf>
    <xf numFmtId="38" fontId="0" fillId="10" borderId="0" xfId="0" applyNumberFormat="1" applyFill="1">
      <alignment vertical="center"/>
    </xf>
    <xf numFmtId="38" fontId="0" fillId="0" borderId="0" xfId="1" applyNumberFormat="1" applyFont="1">
      <alignment vertical="center"/>
    </xf>
    <xf numFmtId="0" fontId="65" fillId="10" borderId="0" xfId="0" applyFont="1" applyFill="1" applyBorder="1" applyAlignment="1">
      <alignment vertical="center"/>
    </xf>
    <xf numFmtId="0" fontId="21" fillId="7" borderId="0" xfId="0" applyFont="1" applyFill="1">
      <alignment vertical="center"/>
    </xf>
    <xf numFmtId="0" fontId="0" fillId="0" borderId="0" xfId="0" applyAlignment="1">
      <alignment horizontal="right" vertical="center"/>
    </xf>
    <xf numFmtId="9" fontId="46" fillId="10" borderId="0" xfId="8" applyNumberFormat="1" applyFont="1" applyFill="1" applyAlignment="1">
      <alignment vertical="center" wrapText="1"/>
    </xf>
    <xf numFmtId="0" fontId="45" fillId="10" borderId="0" xfId="8" applyFont="1" applyFill="1" applyAlignment="1">
      <alignment vertical="center" wrapText="1"/>
    </xf>
    <xf numFmtId="178" fontId="45" fillId="10" borderId="0" xfId="10" applyNumberFormat="1" applyFont="1" applyFill="1" applyAlignment="1">
      <alignment vertical="center" wrapText="1"/>
    </xf>
    <xf numFmtId="9" fontId="45" fillId="10" borderId="0" xfId="8" applyNumberFormat="1" applyFont="1" applyFill="1" applyAlignment="1">
      <alignment vertical="center" wrapText="1"/>
    </xf>
    <xf numFmtId="10" fontId="45" fillId="10" borderId="0" xfId="8" applyNumberFormat="1" applyFont="1" applyFill="1" applyAlignment="1">
      <alignment vertical="center" wrapText="1"/>
    </xf>
    <xf numFmtId="0" fontId="35" fillId="10" borderId="0" xfId="8" applyFill="1">
      <alignment vertical="center"/>
    </xf>
    <xf numFmtId="9" fontId="45" fillId="10" borderId="0" xfId="0" applyNumberFormat="1" applyFont="1" applyFill="1" applyAlignment="1">
      <alignment vertical="center" wrapText="1"/>
    </xf>
    <xf numFmtId="178" fontId="45" fillId="10" borderId="0" xfId="0" applyNumberFormat="1" applyFont="1" applyFill="1" applyAlignment="1">
      <alignment vertical="center" wrapText="1"/>
    </xf>
    <xf numFmtId="9" fontId="35" fillId="10" borderId="0" xfId="8" applyNumberFormat="1" applyFill="1">
      <alignment vertical="center"/>
    </xf>
    <xf numFmtId="38" fontId="24" fillId="0" borderId="40" xfId="1" applyFont="1" applyBorder="1" applyAlignment="1">
      <alignment horizontal="center"/>
    </xf>
    <xf numFmtId="0" fontId="24" fillId="0" borderId="40" xfId="3" applyNumberFormat="1" applyFont="1" applyBorder="1" applyAlignment="1">
      <alignment horizontal="center"/>
    </xf>
    <xf numFmtId="0" fontId="24" fillId="0" borderId="41" xfId="3" applyNumberFormat="1" applyFont="1" applyBorder="1" applyAlignment="1">
      <alignment horizontal="center"/>
    </xf>
    <xf numFmtId="0" fontId="51" fillId="0" borderId="268" xfId="0" applyFont="1" applyBorder="1" applyAlignment="1">
      <alignment horizontal="left"/>
    </xf>
    <xf numFmtId="0" fontId="52" fillId="0" borderId="268" xfId="0" applyFont="1" applyBorder="1" applyAlignment="1">
      <alignment horizontal="center"/>
    </xf>
    <xf numFmtId="38" fontId="24" fillId="0" borderId="269" xfId="1" applyFont="1" applyBorder="1" applyAlignment="1">
      <alignment horizontal="center"/>
    </xf>
    <xf numFmtId="9" fontId="24" fillId="0" borderId="269" xfId="2" applyFont="1" applyBorder="1" applyAlignment="1">
      <alignment horizontal="right"/>
    </xf>
    <xf numFmtId="9" fontId="24" fillId="0" borderId="270" xfId="2" applyFont="1" applyBorder="1" applyAlignment="1">
      <alignment horizontal="right"/>
    </xf>
    <xf numFmtId="0" fontId="35" fillId="0" borderId="43" xfId="0" applyFont="1" applyFill="1" applyBorder="1" applyAlignment="1"/>
    <xf numFmtId="0" fontId="24" fillId="0" borderId="43" xfId="0" applyFont="1" applyFill="1" applyBorder="1" applyAlignment="1"/>
    <xf numFmtId="38" fontId="24" fillId="0" borderId="1" xfId="1" applyFont="1" applyBorder="1" applyAlignment="1">
      <alignment horizontal="right"/>
    </xf>
    <xf numFmtId="38" fontId="24" fillId="0" borderId="43" xfId="1" applyFont="1" applyFill="1" applyBorder="1" applyAlignment="1"/>
    <xf numFmtId="0" fontId="11" fillId="0" borderId="0" xfId="0" applyFont="1">
      <alignment vertical="center"/>
    </xf>
    <xf numFmtId="0" fontId="76" fillId="0" borderId="0" xfId="0" applyFont="1">
      <alignment vertical="center"/>
    </xf>
    <xf numFmtId="0" fontId="39" fillId="0" borderId="257" xfId="0" applyFont="1" applyFill="1" applyBorder="1">
      <alignment vertical="center"/>
    </xf>
    <xf numFmtId="0" fontId="39" fillId="0" borderId="185" xfId="0" applyFont="1" applyFill="1" applyBorder="1">
      <alignment vertical="center"/>
    </xf>
    <xf numFmtId="0" fontId="12" fillId="0" borderId="0" xfId="0" applyFont="1">
      <alignment vertical="center"/>
    </xf>
    <xf numFmtId="0" fontId="44" fillId="21" borderId="265" xfId="0" applyFont="1" applyFill="1" applyBorder="1">
      <alignment vertical="center"/>
    </xf>
    <xf numFmtId="0" fontId="78" fillId="21" borderId="265" xfId="0" applyFont="1" applyFill="1" applyBorder="1">
      <alignment vertical="center"/>
    </xf>
    <xf numFmtId="0" fontId="78" fillId="21" borderId="266" xfId="0" applyFont="1" applyFill="1" applyBorder="1">
      <alignment vertical="center"/>
    </xf>
    <xf numFmtId="0" fontId="67" fillId="14" borderId="29" xfId="0" applyFont="1" applyFill="1" applyBorder="1" applyAlignment="1">
      <alignment horizontal="left" vertical="center"/>
    </xf>
    <xf numFmtId="0" fontId="67" fillId="14" borderId="243" xfId="0" applyFont="1" applyFill="1" applyBorder="1" applyAlignment="1">
      <alignment horizontal="left" vertical="center"/>
    </xf>
    <xf numFmtId="0" fontId="44" fillId="15" borderId="0" xfId="0" applyFont="1" applyFill="1" applyAlignment="1">
      <alignment horizontal="right" vertical="center"/>
    </xf>
    <xf numFmtId="0" fontId="64" fillId="9" borderId="248" xfId="0" applyFont="1" applyFill="1" applyBorder="1">
      <alignment vertical="center"/>
    </xf>
    <xf numFmtId="0" fontId="0" fillId="9" borderId="250" xfId="0" applyFill="1" applyBorder="1" applyAlignment="1">
      <alignment vertical="center"/>
    </xf>
    <xf numFmtId="0" fontId="66" fillId="21" borderId="271" xfId="0" applyFont="1" applyFill="1" applyBorder="1">
      <alignment vertical="center"/>
    </xf>
    <xf numFmtId="0" fontId="66" fillId="21" borderId="272" xfId="0" applyFont="1" applyFill="1" applyBorder="1">
      <alignment vertical="center"/>
    </xf>
    <xf numFmtId="38" fontId="66" fillId="21" borderId="271" xfId="1" applyFont="1" applyFill="1" applyBorder="1" applyAlignment="1">
      <alignment horizontal="left" vertical="center"/>
    </xf>
    <xf numFmtId="38" fontId="66" fillId="21" borderId="272" xfId="1" applyFont="1" applyFill="1" applyBorder="1" applyAlignment="1">
      <alignment horizontal="left" vertical="center"/>
    </xf>
    <xf numFmtId="178" fontId="40" fillId="21" borderId="25" xfId="2" applyNumberFormat="1" applyFont="1" applyFill="1" applyBorder="1">
      <alignment vertical="center"/>
    </xf>
    <xf numFmtId="178" fontId="40" fillId="21" borderId="18" xfId="2" applyNumberFormat="1" applyFont="1" applyFill="1" applyBorder="1">
      <alignment vertical="center"/>
    </xf>
    <xf numFmtId="178" fontId="40" fillId="21" borderId="27" xfId="2" applyNumberFormat="1" applyFont="1" applyFill="1" applyBorder="1">
      <alignment vertical="center"/>
    </xf>
    <xf numFmtId="9" fontId="42" fillId="21" borderId="114" xfId="2" applyFont="1" applyFill="1" applyBorder="1" applyAlignment="1">
      <alignment horizontal="right" vertical="center"/>
    </xf>
    <xf numFmtId="1" fontId="42" fillId="21" borderId="29" xfId="0" applyNumberFormat="1" applyFont="1" applyFill="1" applyBorder="1" applyAlignment="1">
      <alignment horizontal="right" vertical="center"/>
    </xf>
    <xf numFmtId="9" fontId="42" fillId="21" borderId="29" xfId="2" applyFont="1" applyFill="1" applyBorder="1" applyAlignment="1">
      <alignment horizontal="right" vertical="center"/>
    </xf>
    <xf numFmtId="1" fontId="39" fillId="21" borderId="29" xfId="0" applyNumberFormat="1" applyFont="1" applyFill="1" applyBorder="1" applyAlignment="1">
      <alignment horizontal="right" vertical="center"/>
    </xf>
    <xf numFmtId="1" fontId="42" fillId="21" borderId="122" xfId="0" applyNumberFormat="1" applyFont="1" applyFill="1" applyBorder="1" applyAlignment="1">
      <alignment horizontal="right" vertical="center"/>
    </xf>
    <xf numFmtId="9" fontId="42" fillId="21" borderId="23" xfId="2" applyFont="1" applyFill="1" applyBorder="1" applyAlignment="1">
      <alignment horizontal="right" vertical="center"/>
    </xf>
    <xf numFmtId="9" fontId="42" fillId="21" borderId="0" xfId="2" applyFont="1" applyFill="1" applyBorder="1" applyAlignment="1">
      <alignment horizontal="right" vertical="center"/>
    </xf>
    <xf numFmtId="38" fontId="42" fillId="21" borderId="16" xfId="1" applyFont="1" applyFill="1" applyBorder="1" applyAlignment="1">
      <alignment horizontal="right" vertical="center"/>
    </xf>
    <xf numFmtId="38" fontId="65" fillId="10" borderId="0" xfId="1" applyFont="1" applyFill="1" applyBorder="1" applyAlignment="1">
      <alignment horizontal="right" vertical="center"/>
    </xf>
    <xf numFmtId="38" fontId="65" fillId="10" borderId="0" xfId="0" applyNumberFormat="1" applyFont="1" applyFill="1" applyBorder="1" applyAlignment="1">
      <alignment horizontal="right" vertical="center"/>
    </xf>
    <xf numFmtId="0" fontId="65" fillId="10" borderId="0" xfId="0" applyFont="1" applyFill="1" applyBorder="1" applyAlignment="1">
      <alignment horizontal="right" vertical="center"/>
    </xf>
    <xf numFmtId="1" fontId="39" fillId="10" borderId="228" xfId="0" applyNumberFormat="1" applyFont="1" applyFill="1" applyBorder="1" applyAlignment="1">
      <alignment horizontal="right" vertical="center"/>
    </xf>
    <xf numFmtId="1" fontId="39" fillId="10" borderId="218" xfId="0" applyNumberFormat="1" applyFont="1" applyFill="1" applyBorder="1" applyAlignment="1">
      <alignment horizontal="right" vertical="center"/>
    </xf>
    <xf numFmtId="1" fontId="39" fillId="10" borderId="15" xfId="0" applyNumberFormat="1" applyFont="1" applyFill="1" applyBorder="1" applyAlignment="1">
      <alignment horizontal="right" vertical="center"/>
    </xf>
    <xf numFmtId="1" fontId="39" fillId="10" borderId="146" xfId="0" applyNumberFormat="1" applyFont="1" applyFill="1" applyBorder="1" applyAlignment="1">
      <alignment horizontal="right" vertical="center"/>
    </xf>
    <xf numFmtId="9" fontId="39" fillId="15" borderId="218" xfId="2" applyFont="1" applyFill="1" applyBorder="1" applyAlignment="1">
      <alignment horizontal="right" vertical="center"/>
    </xf>
    <xf numFmtId="0" fontId="58" fillId="14" borderId="0" xfId="0" applyFont="1" applyFill="1">
      <alignment vertical="center"/>
    </xf>
    <xf numFmtId="0" fontId="58" fillId="14" borderId="0" xfId="0" applyFont="1" applyFill="1" applyBorder="1">
      <alignment vertical="center"/>
    </xf>
    <xf numFmtId="0" fontId="79" fillId="14" borderId="0" xfId="0" applyFont="1" applyFill="1" applyBorder="1">
      <alignment vertical="center"/>
    </xf>
    <xf numFmtId="0" fontId="80" fillId="14" borderId="0" xfId="0" applyFont="1" applyFill="1">
      <alignment vertical="center"/>
    </xf>
    <xf numFmtId="0" fontId="80" fillId="14" borderId="0" xfId="0" applyFont="1" applyFill="1" applyBorder="1">
      <alignment vertical="center"/>
    </xf>
    <xf numFmtId="0" fontId="60" fillId="15" borderId="0" xfId="0" applyFont="1" applyFill="1" applyAlignment="1"/>
    <xf numFmtId="0" fontId="58" fillId="15" borderId="0" xfId="0" applyFont="1" applyFill="1" applyAlignment="1">
      <alignment vertical="center" wrapText="1"/>
    </xf>
    <xf numFmtId="0" fontId="12" fillId="15" borderId="0" xfId="0" applyFont="1" applyFill="1" applyBorder="1" applyAlignment="1">
      <alignment vertical="center"/>
    </xf>
    <xf numFmtId="38" fontId="12" fillId="15" borderId="0" xfId="1" applyFont="1" applyFill="1" applyBorder="1" applyAlignment="1">
      <alignment vertical="center"/>
    </xf>
    <xf numFmtId="0" fontId="81" fillId="14" borderId="0" xfId="0" applyFont="1" applyFill="1" applyAlignment="1">
      <alignment vertical="center"/>
    </xf>
    <xf numFmtId="0" fontId="61" fillId="21" borderId="273" xfId="0" applyFont="1" applyFill="1" applyBorder="1">
      <alignment vertical="center"/>
    </xf>
    <xf numFmtId="0" fontId="66" fillId="21" borderId="276" xfId="0" applyFont="1" applyFill="1" applyBorder="1">
      <alignment vertical="center"/>
    </xf>
    <xf numFmtId="178" fontId="66" fillId="0" borderId="18" xfId="0" applyNumberFormat="1" applyFont="1" applyFill="1" applyBorder="1">
      <alignment vertical="center"/>
    </xf>
    <xf numFmtId="0" fontId="61" fillId="21" borderId="278" xfId="0" applyFont="1" applyFill="1" applyBorder="1">
      <alignment vertical="center"/>
    </xf>
    <xf numFmtId="0" fontId="61" fillId="21" borderId="279" xfId="0" applyFont="1" applyFill="1" applyBorder="1">
      <alignment vertical="center"/>
    </xf>
    <xf numFmtId="0" fontId="61" fillId="21" borderId="280" xfId="0" applyFont="1" applyFill="1" applyBorder="1">
      <alignment vertical="center"/>
    </xf>
    <xf numFmtId="0" fontId="66" fillId="21" borderId="282" xfId="0" applyFont="1" applyFill="1" applyBorder="1">
      <alignment vertical="center"/>
    </xf>
    <xf numFmtId="0" fontId="66" fillId="21" borderId="283" xfId="0" applyFont="1" applyFill="1" applyBorder="1">
      <alignment vertical="center"/>
    </xf>
    <xf numFmtId="0" fontId="61" fillId="21" borderId="284" xfId="0" applyFont="1" applyFill="1" applyBorder="1">
      <alignment vertical="center"/>
    </xf>
    <xf numFmtId="0" fontId="61" fillId="21" borderId="285" xfId="0" applyFont="1" applyFill="1" applyBorder="1">
      <alignment vertical="center"/>
    </xf>
    <xf numFmtId="0" fontId="68" fillId="16" borderId="243" xfId="0" applyFont="1" applyFill="1" applyBorder="1" applyAlignment="1">
      <alignment horizontal="center" vertical="center"/>
    </xf>
    <xf numFmtId="0" fontId="70" fillId="21" borderId="286" xfId="0" applyFont="1" applyFill="1" applyBorder="1" applyAlignment="1">
      <alignment horizontal="left" vertical="center"/>
    </xf>
    <xf numFmtId="0" fontId="61" fillId="21" borderId="277" xfId="0" applyFont="1" applyFill="1" applyBorder="1" applyAlignment="1">
      <alignment horizontal="center" vertical="center"/>
    </xf>
    <xf numFmtId="0" fontId="70" fillId="21" borderId="273" xfId="0" applyFont="1" applyFill="1" applyBorder="1" applyAlignment="1">
      <alignment horizontal="left" vertical="center"/>
    </xf>
    <xf numFmtId="0" fontId="61" fillId="21" borderId="276" xfId="0" applyFont="1" applyFill="1" applyBorder="1" applyAlignment="1">
      <alignment horizontal="center" vertical="center"/>
    </xf>
    <xf numFmtId="38" fontId="69" fillId="21" borderId="18" xfId="0" applyNumberFormat="1" applyFont="1" applyFill="1" applyBorder="1" applyAlignment="1">
      <alignment horizontal="right" vertical="center"/>
    </xf>
    <xf numFmtId="0" fontId="61" fillId="21" borderId="27" xfId="0" applyFont="1" applyFill="1" applyBorder="1" applyAlignment="1">
      <alignment horizontal="center" vertical="center"/>
    </xf>
    <xf numFmtId="38" fontId="66" fillId="21" borderId="271" xfId="1" applyFont="1" applyFill="1" applyBorder="1">
      <alignment vertical="center"/>
    </xf>
    <xf numFmtId="38" fontId="66" fillId="21" borderId="18" xfId="1" applyFont="1" applyFill="1" applyBorder="1">
      <alignment vertical="center"/>
    </xf>
    <xf numFmtId="0" fontId="81" fillId="14" borderId="0" xfId="0" applyFont="1" applyFill="1" applyAlignment="1"/>
    <xf numFmtId="0" fontId="66" fillId="21" borderId="281" xfId="0" applyFont="1" applyFill="1" applyBorder="1">
      <alignment vertical="center"/>
    </xf>
    <xf numFmtId="0" fontId="61" fillId="21" borderId="282" xfId="0" applyFont="1" applyFill="1" applyBorder="1">
      <alignment vertical="center"/>
    </xf>
    <xf numFmtId="0" fontId="61" fillId="21" borderId="281" xfId="0" applyFont="1" applyFill="1" applyBorder="1">
      <alignment vertical="center"/>
    </xf>
    <xf numFmtId="38" fontId="77" fillId="21" borderId="271" xfId="1" applyFont="1" applyFill="1" applyBorder="1" applyAlignment="1">
      <alignment horizontal="left" vertical="center"/>
    </xf>
    <xf numFmtId="38" fontId="77" fillId="21" borderId="263" xfId="1" applyFont="1" applyFill="1" applyBorder="1" applyAlignment="1">
      <alignment horizontal="left" vertical="center"/>
    </xf>
    <xf numFmtId="0" fontId="61" fillId="21" borderId="282" xfId="0" applyFont="1" applyFill="1" applyBorder="1" applyAlignment="1">
      <alignment horizontal="left" vertical="center"/>
    </xf>
    <xf numFmtId="0" fontId="7" fillId="0" borderId="282" xfId="0" applyFont="1" applyBorder="1">
      <alignment vertical="center"/>
    </xf>
    <xf numFmtId="178" fontId="61" fillId="21" borderId="282" xfId="0" applyNumberFormat="1" applyFont="1" applyFill="1" applyBorder="1" applyAlignment="1">
      <alignment horizontal="left" vertical="center"/>
    </xf>
    <xf numFmtId="38" fontId="61" fillId="21" borderId="282" xfId="1" applyFont="1" applyFill="1" applyBorder="1" applyAlignment="1">
      <alignment horizontal="left" vertical="center"/>
    </xf>
    <xf numFmtId="178" fontId="61" fillId="21" borderId="281" xfId="0" applyNumberFormat="1" applyFont="1" applyFill="1" applyBorder="1" applyAlignment="1">
      <alignment horizontal="left" vertical="center"/>
    </xf>
    <xf numFmtId="0" fontId="66" fillId="21" borderId="288" xfId="0" applyFont="1" applyFill="1" applyBorder="1">
      <alignment vertical="center"/>
    </xf>
    <xf numFmtId="38" fontId="78" fillId="21" borderId="271" xfId="1" applyFont="1" applyFill="1" applyBorder="1" applyAlignment="1">
      <alignment horizontal="left" vertical="center"/>
    </xf>
    <xf numFmtId="38" fontId="78" fillId="21" borderId="263" xfId="1" applyFont="1" applyFill="1" applyBorder="1" applyAlignment="1">
      <alignment horizontal="left" vertical="center"/>
    </xf>
    <xf numFmtId="0" fontId="61" fillId="21" borderId="289" xfId="0" applyFont="1" applyFill="1" applyBorder="1">
      <alignment vertical="center"/>
    </xf>
    <xf numFmtId="0" fontId="60" fillId="16" borderId="114" xfId="0" applyFont="1" applyFill="1" applyBorder="1">
      <alignment vertical="center"/>
    </xf>
    <xf numFmtId="0" fontId="13" fillId="16" borderId="29" xfId="0" applyFont="1" applyFill="1" applyBorder="1">
      <alignment vertical="center"/>
    </xf>
    <xf numFmtId="0" fontId="14" fillId="16" borderId="29" xfId="0" applyFont="1" applyFill="1" applyBorder="1">
      <alignment vertical="center"/>
    </xf>
    <xf numFmtId="0" fontId="14" fillId="16" borderId="122" xfId="0" applyFont="1" applyFill="1" applyBorder="1">
      <alignment vertical="center"/>
    </xf>
    <xf numFmtId="0" fontId="67" fillId="16" borderId="286" xfId="0" applyFont="1" applyFill="1" applyBorder="1" applyAlignment="1">
      <alignment vertical="center"/>
    </xf>
    <xf numFmtId="0" fontId="67" fillId="16" borderId="287" xfId="0" applyFont="1" applyFill="1" applyBorder="1" applyAlignment="1">
      <alignment horizontal="center" vertical="center"/>
    </xf>
    <xf numFmtId="0" fontId="68" fillId="16" borderId="287" xfId="0" applyFont="1" applyFill="1" applyBorder="1" applyAlignment="1">
      <alignment horizontal="center" vertical="center"/>
    </xf>
    <xf numFmtId="0" fontId="68" fillId="16" borderId="277" xfId="0" applyFont="1" applyFill="1" applyBorder="1" applyAlignment="1">
      <alignment vertical="center"/>
    </xf>
    <xf numFmtId="0" fontId="45" fillId="21" borderId="0" xfId="0" applyFont="1" applyFill="1">
      <alignment vertical="center"/>
    </xf>
    <xf numFmtId="0" fontId="21" fillId="14" borderId="0" xfId="0" applyFont="1" applyFill="1">
      <alignment vertical="center"/>
    </xf>
    <xf numFmtId="0" fontId="0" fillId="14" borderId="0" xfId="0" applyFill="1">
      <alignment vertical="center"/>
    </xf>
    <xf numFmtId="0" fontId="82" fillId="21" borderId="0" xfId="0" applyFont="1" applyFill="1">
      <alignment vertical="center"/>
    </xf>
    <xf numFmtId="0" fontId="83" fillId="14" borderId="0" xfId="0" applyFont="1" applyFill="1">
      <alignment vertical="center"/>
    </xf>
    <xf numFmtId="0" fontId="84" fillId="21" borderId="0" xfId="0" applyFont="1" applyFill="1">
      <alignment vertical="center"/>
    </xf>
    <xf numFmtId="0" fontId="0" fillId="21" borderId="0" xfId="0" applyFont="1" applyFill="1">
      <alignment vertical="center"/>
    </xf>
    <xf numFmtId="0" fontId="0" fillId="21" borderId="0" xfId="0" applyFill="1" applyAlignment="1">
      <alignment vertical="center"/>
    </xf>
    <xf numFmtId="9" fontId="85" fillId="9" borderId="0" xfId="0" applyNumberFormat="1" applyFont="1" applyFill="1">
      <alignment vertical="center"/>
    </xf>
    <xf numFmtId="0" fontId="86" fillId="21" borderId="0" xfId="0" applyFont="1" applyFill="1">
      <alignment vertical="center"/>
    </xf>
    <xf numFmtId="0" fontId="0" fillId="26" borderId="0" xfId="0" applyFill="1">
      <alignment vertical="center"/>
    </xf>
    <xf numFmtId="0" fontId="87" fillId="21" borderId="0" xfId="0" applyFont="1" applyFill="1" applyBorder="1">
      <alignment vertical="center"/>
    </xf>
    <xf numFmtId="0" fontId="87" fillId="21" borderId="0" xfId="0" applyFont="1" applyFill="1">
      <alignment vertical="center"/>
    </xf>
    <xf numFmtId="0" fontId="88" fillId="21" borderId="0" xfId="0" applyFont="1" applyFill="1" applyBorder="1">
      <alignment vertical="center"/>
    </xf>
    <xf numFmtId="0" fontId="89" fillId="0" borderId="0" xfId="0" applyFont="1" applyFill="1">
      <alignment vertical="center"/>
    </xf>
    <xf numFmtId="0" fontId="90" fillId="0" borderId="0" xfId="0" applyFont="1" applyFill="1">
      <alignment vertical="center"/>
    </xf>
    <xf numFmtId="0" fontId="89" fillId="0" borderId="0" xfId="0" applyFont="1" applyFill="1" applyBorder="1">
      <alignment vertical="center"/>
    </xf>
    <xf numFmtId="0" fontId="90" fillId="0" borderId="0" xfId="0" applyFont="1" applyFill="1" applyBorder="1">
      <alignment vertical="center"/>
    </xf>
    <xf numFmtId="0" fontId="90" fillId="0" borderId="0" xfId="0" applyFont="1">
      <alignment vertical="center"/>
    </xf>
    <xf numFmtId="38" fontId="91" fillId="0" borderId="0" xfId="1" applyFont="1" applyFill="1" applyBorder="1">
      <alignment vertical="center"/>
    </xf>
    <xf numFmtId="9" fontId="89" fillId="0" borderId="0" xfId="0" applyNumberFormat="1" applyFont="1" applyFill="1" applyBorder="1">
      <alignment vertical="center"/>
    </xf>
    <xf numFmtId="38" fontId="89" fillId="0" borderId="0" xfId="0" applyNumberFormat="1" applyFont="1" applyFill="1" applyBorder="1">
      <alignment vertical="center"/>
    </xf>
    <xf numFmtId="0" fontId="92" fillId="0" borderId="0" xfId="0" applyFont="1">
      <alignment vertical="center"/>
    </xf>
    <xf numFmtId="176" fontId="93" fillId="9" borderId="0" xfId="1" applyNumberFormat="1" applyFont="1" applyFill="1" applyBorder="1" applyAlignment="1"/>
    <xf numFmtId="38" fontId="90" fillId="0" borderId="0" xfId="1" applyFont="1" applyFill="1" applyBorder="1" applyAlignment="1"/>
    <xf numFmtId="0" fontId="92" fillId="0" borderId="0" xfId="0" applyFont="1" applyFill="1" applyBorder="1" applyAlignment="1">
      <alignment vertical="center" wrapText="1"/>
    </xf>
    <xf numFmtId="0" fontId="93" fillId="9" borderId="0" xfId="0" applyFont="1" applyFill="1" applyBorder="1" applyAlignment="1"/>
    <xf numFmtId="38" fontId="92" fillId="0" borderId="0" xfId="1" applyFont="1" applyFill="1" applyBorder="1" applyAlignment="1"/>
    <xf numFmtId="0" fontId="89" fillId="0" borderId="0" xfId="0" applyFont="1" applyFill="1" applyBorder="1" applyAlignment="1">
      <alignment vertical="center"/>
    </xf>
    <xf numFmtId="38" fontId="89" fillId="0" borderId="0" xfId="1" applyFont="1" applyFill="1" applyBorder="1">
      <alignment vertical="center"/>
    </xf>
    <xf numFmtId="0" fontId="94" fillId="0" borderId="0" xfId="0" applyFont="1" applyFill="1" applyBorder="1" applyAlignment="1">
      <alignment vertical="center" wrapText="1"/>
    </xf>
    <xf numFmtId="0" fontId="95" fillId="0" borderId="0" xfId="0" applyFont="1" applyFill="1" applyBorder="1" applyAlignment="1"/>
    <xf numFmtId="0" fontId="92" fillId="0" borderId="0" xfId="0" applyFont="1" applyFill="1" applyBorder="1" applyAlignment="1"/>
    <xf numFmtId="178" fontId="90" fillId="0" borderId="0" xfId="0" applyNumberFormat="1" applyFont="1" applyFill="1" applyBorder="1">
      <alignment vertical="center"/>
    </xf>
    <xf numFmtId="0" fontId="92" fillId="0" borderId="0" xfId="0" applyFont="1" applyFill="1" applyBorder="1">
      <alignment vertical="center"/>
    </xf>
    <xf numFmtId="38" fontId="90" fillId="0" borderId="0" xfId="1" applyFont="1" applyFill="1" applyBorder="1">
      <alignment vertical="center"/>
    </xf>
    <xf numFmtId="0" fontId="87" fillId="0" borderId="0" xfId="0" applyFont="1" applyFill="1" applyBorder="1">
      <alignment vertical="center"/>
    </xf>
    <xf numFmtId="0" fontId="88" fillId="0" borderId="0" xfId="0" applyFont="1" applyFill="1" applyBorder="1" applyAlignment="1"/>
    <xf numFmtId="178" fontId="87" fillId="0" borderId="0" xfId="0" applyNumberFormat="1" applyFont="1" applyFill="1" applyBorder="1">
      <alignment vertical="center"/>
    </xf>
    <xf numFmtId="0" fontId="87" fillId="0" borderId="0" xfId="0" applyFont="1">
      <alignment vertical="center"/>
    </xf>
    <xf numFmtId="0" fontId="89" fillId="0" borderId="0" xfId="0" applyFont="1">
      <alignment vertical="center"/>
    </xf>
    <xf numFmtId="9" fontId="90" fillId="0" borderId="0" xfId="0" applyNumberFormat="1" applyFont="1" applyFill="1" applyBorder="1">
      <alignment vertical="center"/>
    </xf>
    <xf numFmtId="9" fontId="89" fillId="0" borderId="0" xfId="2" applyFont="1" applyFill="1" applyBorder="1">
      <alignment vertical="center"/>
    </xf>
    <xf numFmtId="9" fontId="96" fillId="0" borderId="0" xfId="0" applyNumberFormat="1" applyFont="1" applyFill="1" applyBorder="1">
      <alignment vertical="center"/>
    </xf>
    <xf numFmtId="0" fontId="89" fillId="14" borderId="0" xfId="0" applyFont="1" applyFill="1">
      <alignment vertical="center"/>
    </xf>
    <xf numFmtId="176" fontId="90" fillId="0" borderId="0" xfId="0" applyNumberFormat="1" applyFont="1">
      <alignment vertical="center"/>
    </xf>
    <xf numFmtId="9" fontId="89" fillId="0" borderId="0" xfId="0" applyNumberFormat="1" applyFont="1" applyFill="1">
      <alignment vertical="center"/>
    </xf>
    <xf numFmtId="9" fontId="89" fillId="0" borderId="0" xfId="0" applyNumberFormat="1" applyFont="1">
      <alignment vertical="center"/>
    </xf>
    <xf numFmtId="178" fontId="89" fillId="0" borderId="0" xfId="2" applyNumberFormat="1" applyFont="1" applyFill="1" applyBorder="1">
      <alignment vertical="center"/>
    </xf>
    <xf numFmtId="0" fontId="89" fillId="21" borderId="0" xfId="0" applyFont="1" applyFill="1" applyBorder="1">
      <alignment vertical="center"/>
    </xf>
    <xf numFmtId="0" fontId="89" fillId="21" borderId="0" xfId="0" applyFont="1" applyFill="1">
      <alignment vertical="center"/>
    </xf>
    <xf numFmtId="0" fontId="90" fillId="21" borderId="0" xfId="0" applyFont="1" applyFill="1">
      <alignment vertical="center"/>
    </xf>
    <xf numFmtId="38" fontId="89" fillId="0" borderId="0" xfId="1" applyFont="1">
      <alignment vertical="center"/>
    </xf>
    <xf numFmtId="0" fontId="89" fillId="0" borderId="0" xfId="0" applyFont="1" applyAlignment="1">
      <alignment vertical="center"/>
    </xf>
    <xf numFmtId="0" fontId="89" fillId="0" borderId="0" xfId="0" applyFont="1" applyAlignment="1">
      <alignment vertical="center" wrapText="1"/>
    </xf>
    <xf numFmtId="9" fontId="66" fillId="21" borderId="258" xfId="2" applyFont="1" applyFill="1" applyBorder="1">
      <alignment vertical="center"/>
    </xf>
    <xf numFmtId="38" fontId="66" fillId="26" borderId="167" xfId="1" applyFont="1" applyFill="1" applyBorder="1" applyProtection="1">
      <alignment vertical="center"/>
      <protection locked="0"/>
    </xf>
    <xf numFmtId="38" fontId="66" fillId="26" borderId="6" xfId="1" applyFont="1" applyFill="1" applyBorder="1" applyAlignment="1" applyProtection="1">
      <alignment horizontal="right" vertical="center"/>
      <protection locked="0"/>
    </xf>
    <xf numFmtId="38" fontId="66" fillId="26" borderId="0" xfId="1" applyFont="1" applyFill="1" applyBorder="1" applyProtection="1">
      <alignment vertical="center"/>
      <protection locked="0"/>
    </xf>
    <xf numFmtId="38" fontId="66" fillId="26" borderId="274" xfId="1" applyFont="1" applyFill="1" applyBorder="1" applyProtection="1">
      <alignment vertical="center"/>
      <protection locked="0"/>
    </xf>
    <xf numFmtId="38" fontId="66" fillId="26" borderId="275" xfId="1" applyFont="1" applyFill="1" applyBorder="1" applyProtection="1">
      <alignment vertical="center"/>
      <protection locked="0"/>
    </xf>
    <xf numFmtId="38" fontId="66" fillId="26" borderId="255" xfId="1" applyFont="1" applyFill="1" applyBorder="1" applyAlignment="1" applyProtection="1">
      <alignment horizontal="right" vertical="center"/>
      <protection locked="0"/>
    </xf>
    <xf numFmtId="9" fontId="66" fillId="9" borderId="258" xfId="2" applyFont="1" applyFill="1" applyBorder="1" applyProtection="1">
      <alignment vertical="center"/>
      <protection locked="0"/>
    </xf>
    <xf numFmtId="38" fontId="66" fillId="9" borderId="258" xfId="1" applyFont="1" applyFill="1" applyBorder="1" applyProtection="1">
      <alignment vertical="center"/>
      <protection locked="0"/>
    </xf>
    <xf numFmtId="38" fontId="66" fillId="9" borderId="18" xfId="1" applyFont="1" applyFill="1" applyBorder="1" applyProtection="1">
      <alignment vertical="center"/>
      <protection locked="0"/>
    </xf>
    <xf numFmtId="38" fontId="66" fillId="9" borderId="263" xfId="1" applyFont="1" applyFill="1" applyBorder="1" applyProtection="1">
      <alignment vertical="center"/>
      <protection locked="0"/>
    </xf>
    <xf numFmtId="9" fontId="66" fillId="9" borderId="255" xfId="2" applyFont="1" applyFill="1" applyBorder="1" applyProtection="1">
      <alignment vertical="center"/>
      <protection locked="0"/>
    </xf>
    <xf numFmtId="9" fontId="66" fillId="9" borderId="33" xfId="2" applyFont="1" applyFill="1" applyBorder="1" applyProtection="1">
      <alignment vertical="center"/>
      <protection locked="0"/>
    </xf>
    <xf numFmtId="9" fontId="66" fillId="9" borderId="18" xfId="2" applyFont="1" applyFill="1" applyBorder="1" applyProtection="1">
      <alignment vertical="center"/>
      <protection locked="0"/>
    </xf>
    <xf numFmtId="0" fontId="3" fillId="0" borderId="290" xfId="0" applyFont="1" applyFill="1" applyBorder="1" applyAlignment="1"/>
    <xf numFmtId="0" fontId="66" fillId="9" borderId="282" xfId="0" applyFont="1" applyFill="1" applyBorder="1" applyProtection="1">
      <alignment vertical="center"/>
      <protection locked="0"/>
    </xf>
    <xf numFmtId="0" fontId="61" fillId="9" borderId="282" xfId="0" applyFont="1" applyFill="1" applyBorder="1" applyProtection="1">
      <alignment vertical="center"/>
      <protection locked="0"/>
    </xf>
    <xf numFmtId="0" fontId="61" fillId="9" borderId="281" xfId="0" applyFont="1" applyFill="1" applyBorder="1" applyProtection="1">
      <alignment vertical="center"/>
      <protection locked="0"/>
    </xf>
    <xf numFmtId="0" fontId="14" fillId="15" borderId="0" xfId="0" applyFont="1" applyFill="1" applyBorder="1">
      <alignment vertical="center"/>
    </xf>
    <xf numFmtId="0" fontId="68" fillId="15" borderId="0" xfId="0" applyFont="1" applyFill="1" applyBorder="1" applyAlignment="1">
      <alignment vertical="center"/>
    </xf>
    <xf numFmtId="0" fontId="68" fillId="16" borderId="243" xfId="0" applyFont="1" applyFill="1" applyBorder="1" applyAlignment="1">
      <alignment vertical="center"/>
    </xf>
    <xf numFmtId="38" fontId="66" fillId="21" borderId="275" xfId="1" applyFont="1" applyFill="1" applyBorder="1" applyAlignment="1">
      <alignment horizontal="left" vertical="center"/>
    </xf>
    <xf numFmtId="38" fontId="66" fillId="21" borderId="276" xfId="1" applyFont="1" applyFill="1" applyBorder="1" applyAlignment="1">
      <alignment horizontal="left" vertical="center"/>
    </xf>
    <xf numFmtId="38" fontId="61" fillId="21" borderId="275" xfId="1" applyFont="1" applyFill="1" applyBorder="1" applyAlignment="1">
      <alignment horizontal="right" vertical="center"/>
    </xf>
    <xf numFmtId="38" fontId="61" fillId="21" borderId="276" xfId="1" applyFont="1" applyFill="1" applyBorder="1" applyAlignment="1">
      <alignment horizontal="right" vertical="center"/>
    </xf>
    <xf numFmtId="38" fontId="66" fillId="10" borderId="258" xfId="1" applyFont="1" applyFill="1" applyBorder="1" applyProtection="1">
      <alignment vertical="center"/>
      <protection locked="0"/>
    </xf>
    <xf numFmtId="0" fontId="66" fillId="10" borderId="263" xfId="0" applyFont="1" applyFill="1" applyBorder="1" applyProtection="1">
      <alignment vertical="center"/>
      <protection locked="0"/>
    </xf>
    <xf numFmtId="38" fontId="66" fillId="21" borderId="258" xfId="1" applyFont="1" applyFill="1" applyBorder="1" applyProtection="1">
      <alignment vertical="center"/>
    </xf>
    <xf numFmtId="0" fontId="0" fillId="0" borderId="0" xfId="0" applyFont="1" applyFill="1">
      <alignment vertical="center"/>
    </xf>
    <xf numFmtId="0" fontId="0" fillId="21" borderId="0" xfId="0" applyFont="1" applyFill="1" applyBorder="1">
      <alignment vertical="center"/>
    </xf>
    <xf numFmtId="176" fontId="66" fillId="10" borderId="258" xfId="1" applyNumberFormat="1" applyFont="1" applyFill="1" applyBorder="1" applyProtection="1">
      <alignment vertical="center"/>
      <protection locked="0"/>
    </xf>
    <xf numFmtId="176" fontId="66" fillId="10" borderId="263" xfId="1" applyNumberFormat="1" applyFont="1" applyFill="1" applyBorder="1" applyProtection="1">
      <alignment vertical="center"/>
      <protection locked="0"/>
    </xf>
    <xf numFmtId="38" fontId="66" fillId="10" borderId="33" xfId="1" applyFont="1" applyFill="1" applyBorder="1" applyAlignment="1" applyProtection="1">
      <alignment horizontal="right" vertical="center"/>
      <protection locked="0"/>
    </xf>
    <xf numFmtId="0" fontId="61" fillId="15" borderId="0" xfId="0" applyFont="1" applyFill="1" applyBorder="1" applyAlignment="1">
      <alignment horizontal="left" vertical="center"/>
    </xf>
    <xf numFmtId="38" fontId="61" fillId="15" borderId="0" xfId="1" applyFont="1" applyFill="1" applyBorder="1" applyAlignment="1">
      <alignment horizontal="left" vertical="center"/>
    </xf>
    <xf numFmtId="9" fontId="66" fillId="15" borderId="0" xfId="2" applyFont="1" applyFill="1" applyBorder="1">
      <alignment vertical="center"/>
    </xf>
    <xf numFmtId="0" fontId="97" fillId="21" borderId="0" xfId="0" applyFont="1" applyFill="1">
      <alignment vertical="center"/>
    </xf>
    <xf numFmtId="178" fontId="66" fillId="9" borderId="258" xfId="0" applyNumberFormat="1" applyFont="1" applyFill="1" applyBorder="1" applyAlignment="1" applyProtection="1">
      <alignment horizontal="right" vertical="center"/>
      <protection locked="0"/>
    </xf>
    <xf numFmtId="38" fontId="66" fillId="9" borderId="258" xfId="1" applyFont="1" applyFill="1" applyBorder="1" applyAlignment="1" applyProtection="1">
      <alignment horizontal="right" vertical="center"/>
      <protection locked="0"/>
    </xf>
    <xf numFmtId="38" fontId="66" fillId="9" borderId="33" xfId="1" applyFont="1" applyFill="1" applyBorder="1" applyAlignment="1" applyProtection="1">
      <alignment horizontal="right" vertical="center"/>
      <protection locked="0"/>
    </xf>
    <xf numFmtId="0" fontId="45" fillId="0" borderId="16" xfId="0" applyFont="1" applyBorder="1" applyAlignment="1">
      <alignment vertical="center" wrapText="1"/>
    </xf>
    <xf numFmtId="0" fontId="61" fillId="21" borderId="265" xfId="0" applyFont="1" applyFill="1" applyBorder="1">
      <alignment vertical="center"/>
    </xf>
    <xf numFmtId="0" fontId="64" fillId="27" borderId="0" xfId="0" applyFont="1" applyFill="1" applyBorder="1">
      <alignment vertical="center"/>
    </xf>
    <xf numFmtId="0" fontId="0" fillId="27" borderId="0" xfId="0" applyFill="1" applyBorder="1">
      <alignment vertical="center"/>
    </xf>
    <xf numFmtId="178" fontId="90" fillId="0" borderId="0" xfId="2" applyNumberFormat="1" applyFont="1" applyFill="1" applyBorder="1">
      <alignment vertical="center"/>
    </xf>
    <xf numFmtId="178" fontId="90" fillId="0" borderId="0" xfId="2" applyNumberFormat="1" applyFont="1">
      <alignment vertical="center"/>
    </xf>
    <xf numFmtId="9" fontId="98" fillId="0" borderId="0" xfId="2" applyFont="1" applyFill="1" applyBorder="1">
      <alignment vertical="center"/>
    </xf>
    <xf numFmtId="0" fontId="98" fillId="0" borderId="0" xfId="0" applyFont="1">
      <alignment vertical="center"/>
    </xf>
    <xf numFmtId="0" fontId="98" fillId="0" borderId="0" xfId="0" applyFont="1" applyFill="1" applyBorder="1">
      <alignment vertical="center"/>
    </xf>
    <xf numFmtId="40" fontId="69" fillId="21" borderId="255" xfId="0" applyNumberFormat="1" applyFont="1" applyFill="1" applyBorder="1" applyAlignment="1">
      <alignment horizontal="right" vertical="center"/>
    </xf>
    <xf numFmtId="40" fontId="69" fillId="21" borderId="271" xfId="0" applyNumberFormat="1" applyFont="1" applyFill="1" applyBorder="1" applyAlignment="1">
      <alignment horizontal="right" vertical="center"/>
    </xf>
    <xf numFmtId="40" fontId="66" fillId="21" borderId="255" xfId="0" applyNumberFormat="1" applyFont="1" applyFill="1" applyBorder="1">
      <alignment vertical="center"/>
    </xf>
    <xf numFmtId="0" fontId="87" fillId="0" borderId="0" xfId="0" applyFont="1" applyBorder="1">
      <alignment vertical="center"/>
    </xf>
    <xf numFmtId="0" fontId="72" fillId="0" borderId="0" xfId="0" applyFont="1" applyBorder="1">
      <alignment vertical="center"/>
    </xf>
    <xf numFmtId="38" fontId="98" fillId="0" borderId="0" xfId="0" applyNumberFormat="1" applyFont="1" applyBorder="1">
      <alignment vertical="center"/>
    </xf>
    <xf numFmtId="0" fontId="90" fillId="0" borderId="0" xfId="0" applyFont="1" applyBorder="1">
      <alignment vertical="center"/>
    </xf>
    <xf numFmtId="178" fontId="98" fillId="0" borderId="0" xfId="2" applyNumberFormat="1" applyFont="1" applyBorder="1">
      <alignment vertical="center"/>
    </xf>
    <xf numFmtId="0" fontId="98" fillId="0" borderId="0" xfId="0" applyFont="1" applyBorder="1">
      <alignment vertical="center"/>
    </xf>
    <xf numFmtId="0" fontId="61" fillId="21" borderId="59" xfId="0" applyFont="1" applyFill="1" applyBorder="1">
      <alignment vertical="center"/>
    </xf>
    <xf numFmtId="0" fontId="0" fillId="21" borderId="0" xfId="0" applyFill="1" applyBorder="1">
      <alignment vertical="center"/>
    </xf>
    <xf numFmtId="0" fontId="0" fillId="26" borderId="0" xfId="0" applyFill="1" applyBorder="1">
      <alignment vertical="center"/>
    </xf>
    <xf numFmtId="0" fontId="3" fillId="21" borderId="0" xfId="0" applyFont="1" applyFill="1" applyBorder="1">
      <alignment vertical="center"/>
    </xf>
    <xf numFmtId="0" fontId="0" fillId="9" borderId="250" xfId="0" applyFill="1" applyBorder="1" applyAlignment="1">
      <alignment horizontal="left" vertical="center"/>
    </xf>
    <xf numFmtId="0" fontId="0" fillId="9" borderId="250" xfId="0" applyFill="1" applyBorder="1" applyProtection="1">
      <alignment vertical="center"/>
    </xf>
    <xf numFmtId="0" fontId="0" fillId="9" borderId="0" xfId="0" applyFill="1" applyBorder="1" applyAlignment="1">
      <alignment vertical="center"/>
    </xf>
    <xf numFmtId="0" fontId="0" fillId="9" borderId="251" xfId="0" applyFill="1" applyBorder="1" applyAlignment="1">
      <alignment vertical="center"/>
    </xf>
    <xf numFmtId="0" fontId="66" fillId="21" borderId="275" xfId="0" applyFont="1" applyFill="1" applyBorder="1">
      <alignment vertical="center"/>
    </xf>
    <xf numFmtId="0" fontId="61" fillId="9" borderId="262" xfId="0" applyFont="1" applyFill="1" applyBorder="1" applyProtection="1">
      <alignment vertical="center"/>
      <protection locked="0"/>
    </xf>
    <xf numFmtId="14" fontId="0" fillId="0" borderId="0" xfId="0" applyNumberFormat="1">
      <alignment vertical="center"/>
    </xf>
    <xf numFmtId="0" fontId="99" fillId="0" borderId="0" xfId="11">
      <alignment vertical="center"/>
    </xf>
    <xf numFmtId="0" fontId="0" fillId="0" borderId="0" xfId="0" applyFill="1">
      <alignment vertical="center"/>
    </xf>
    <xf numFmtId="0" fontId="45" fillId="0" borderId="0" xfId="8" applyFont="1" applyFill="1" applyAlignment="1">
      <alignment vertical="center"/>
    </xf>
    <xf numFmtId="38" fontId="45" fillId="0" borderId="0" xfId="1" applyFont="1" applyFill="1" applyAlignment="1">
      <alignment vertical="center" wrapText="1"/>
    </xf>
    <xf numFmtId="178" fontId="99" fillId="0" borderId="0" xfId="11" applyNumberFormat="1" applyFill="1" applyAlignment="1">
      <alignment vertical="center"/>
    </xf>
    <xf numFmtId="178" fontId="0" fillId="9" borderId="0" xfId="10" applyNumberFormat="1" applyFont="1" applyFill="1">
      <alignment vertical="center"/>
    </xf>
    <xf numFmtId="0" fontId="35" fillId="9" borderId="23" xfId="0" applyFont="1" applyFill="1" applyBorder="1" applyAlignment="1"/>
    <xf numFmtId="0" fontId="35" fillId="9" borderId="0" xfId="0" applyFont="1" applyFill="1" applyBorder="1" applyAlignment="1"/>
    <xf numFmtId="0" fontId="22" fillId="9" borderId="16" xfId="0" applyFont="1" applyFill="1" applyBorder="1" applyAlignment="1"/>
    <xf numFmtId="38" fontId="24" fillId="9" borderId="0" xfId="1" applyFont="1" applyFill="1" applyBorder="1" applyAlignment="1"/>
    <xf numFmtId="38" fontId="24" fillId="9" borderId="0" xfId="0" applyNumberFormat="1" applyFont="1" applyFill="1" applyBorder="1" applyAlignment="1"/>
    <xf numFmtId="38" fontId="24" fillId="9" borderId="51" xfId="1" applyFont="1" applyFill="1" applyBorder="1" applyAlignment="1"/>
    <xf numFmtId="0" fontId="24" fillId="9" borderId="0" xfId="0" applyFont="1" applyFill="1" applyAlignment="1"/>
    <xf numFmtId="0" fontId="45" fillId="0" borderId="287" xfId="0" applyFont="1" applyBorder="1">
      <alignment vertical="center"/>
    </xf>
    <xf numFmtId="0" fontId="35" fillId="0" borderId="287" xfId="0" applyFont="1" applyFill="1" applyBorder="1" applyAlignment="1">
      <alignment horizontal="center" vertical="center"/>
    </xf>
    <xf numFmtId="0" fontId="22" fillId="0" borderId="277" xfId="0" applyFont="1" applyFill="1" applyBorder="1" applyAlignment="1"/>
    <xf numFmtId="38" fontId="45" fillId="0" borderId="287" xfId="1" applyFont="1" applyBorder="1">
      <alignment vertical="center"/>
    </xf>
    <xf numFmtId="38" fontId="45" fillId="0" borderId="287" xfId="0" applyNumberFormat="1" applyFont="1" applyBorder="1">
      <alignment vertical="center"/>
    </xf>
    <xf numFmtId="9" fontId="46" fillId="28" borderId="0" xfId="0" applyNumberFormat="1" applyFont="1" applyFill="1" applyBorder="1">
      <alignment vertical="center"/>
    </xf>
    <xf numFmtId="9" fontId="46" fillId="28" borderId="287" xfId="0" applyNumberFormat="1" applyFont="1" applyFill="1" applyBorder="1">
      <alignment vertical="center"/>
    </xf>
    <xf numFmtId="0" fontId="35" fillId="0" borderId="287" xfId="0" applyFont="1" applyFill="1" applyBorder="1" applyAlignment="1">
      <alignment horizontal="left" vertical="center"/>
    </xf>
    <xf numFmtId="0" fontId="45" fillId="0" borderId="277" xfId="0" applyFont="1" applyBorder="1">
      <alignment vertical="center"/>
    </xf>
    <xf numFmtId="0" fontId="35" fillId="0" borderId="273" xfId="0" applyFont="1" applyFill="1" applyBorder="1" applyAlignment="1"/>
    <xf numFmtId="0" fontId="35" fillId="0" borderId="275" xfId="0" applyFont="1" applyFill="1" applyBorder="1" applyAlignment="1"/>
    <xf numFmtId="0" fontId="22" fillId="0" borderId="276" xfId="0" applyFont="1" applyFill="1" applyBorder="1" applyAlignment="1"/>
    <xf numFmtId="38" fontId="24" fillId="0" borderId="275" xfId="1" applyFont="1" applyFill="1" applyBorder="1" applyAlignment="1"/>
    <xf numFmtId="176" fontId="24" fillId="0" borderId="275" xfId="0" applyNumberFormat="1" applyFont="1" applyFill="1" applyBorder="1" applyAlignment="1"/>
    <xf numFmtId="38" fontId="24" fillId="0" borderId="291" xfId="1" applyFont="1" applyBorder="1" applyAlignment="1"/>
    <xf numFmtId="0" fontId="35" fillId="28" borderId="0" xfId="0" applyFont="1" applyFill="1" applyBorder="1" applyAlignment="1">
      <alignment horizontal="left" vertical="center"/>
    </xf>
    <xf numFmtId="0" fontId="45" fillId="28" borderId="0" xfId="0" applyFont="1" applyFill="1" applyBorder="1">
      <alignment vertical="center"/>
    </xf>
    <xf numFmtId="0" fontId="45" fillId="28" borderId="16" xfId="0" applyFont="1" applyFill="1" applyBorder="1">
      <alignment vertical="center"/>
    </xf>
    <xf numFmtId="38" fontId="45" fillId="28" borderId="0" xfId="1" applyFont="1" applyFill="1" applyBorder="1">
      <alignment vertical="center"/>
    </xf>
    <xf numFmtId="0" fontId="45" fillId="28" borderId="23" xfId="0" applyFont="1" applyFill="1" applyBorder="1">
      <alignment vertical="center"/>
    </xf>
    <xf numFmtId="0" fontId="45" fillId="28" borderId="0" xfId="0" applyFont="1" applyFill="1">
      <alignment vertical="center"/>
    </xf>
    <xf numFmtId="38" fontId="45" fillId="0" borderId="0" xfId="1" applyFont="1" applyFill="1" applyBorder="1">
      <alignment vertical="center"/>
    </xf>
    <xf numFmtId="38" fontId="45" fillId="0" borderId="287" xfId="1" applyFont="1" applyFill="1" applyBorder="1">
      <alignment vertical="center"/>
    </xf>
    <xf numFmtId="9" fontId="53" fillId="28" borderId="0" xfId="0" applyNumberFormat="1" applyFont="1" applyFill="1" applyBorder="1">
      <alignment vertical="center"/>
    </xf>
    <xf numFmtId="0" fontId="35" fillId="28" borderId="287" xfId="0" applyFont="1" applyFill="1" applyBorder="1" applyAlignment="1">
      <alignment horizontal="left" vertical="center"/>
    </xf>
    <xf numFmtId="38" fontId="45" fillId="28" borderId="51" xfId="1" applyFont="1" applyFill="1" applyBorder="1">
      <alignment vertical="center"/>
    </xf>
    <xf numFmtId="38" fontId="45" fillId="28" borderId="169" xfId="1" applyFont="1" applyFill="1" applyBorder="1">
      <alignment vertical="center"/>
    </xf>
    <xf numFmtId="38" fontId="45" fillId="28" borderId="177" xfId="1" applyFont="1" applyFill="1" applyBorder="1" applyAlignment="1"/>
    <xf numFmtId="38" fontId="45" fillId="0" borderId="292" xfId="1" applyFont="1" applyBorder="1" applyAlignment="1"/>
    <xf numFmtId="38" fontId="22" fillId="0" borderId="164" xfId="1" applyFont="1" applyBorder="1" applyAlignment="1"/>
    <xf numFmtId="38" fontId="22" fillId="0" borderId="106" xfId="1" applyFont="1" applyBorder="1" applyAlignment="1"/>
    <xf numFmtId="38" fontId="22" fillId="0" borderId="292" xfId="1" applyFont="1" applyBorder="1" applyAlignment="1"/>
    <xf numFmtId="0" fontId="35" fillId="28" borderId="0" xfId="0" applyFont="1" applyFill="1" applyBorder="1" applyAlignment="1"/>
    <xf numFmtId="38" fontId="22" fillId="28" borderId="180" xfId="1" applyFont="1" applyFill="1" applyBorder="1" applyAlignment="1"/>
    <xf numFmtId="38" fontId="22" fillId="28" borderId="177" xfId="1" applyFont="1" applyFill="1" applyBorder="1" applyAlignment="1"/>
    <xf numFmtId="38" fontId="22" fillId="28" borderId="51" xfId="1" applyFont="1" applyFill="1" applyBorder="1" applyAlignment="1"/>
    <xf numFmtId="0" fontId="22" fillId="0" borderId="114" xfId="0" applyFont="1" applyFill="1" applyBorder="1" applyAlignment="1">
      <alignment horizontal="left"/>
    </xf>
    <xf numFmtId="0" fontId="35" fillId="0" borderId="29" xfId="0" applyFont="1" applyFill="1" applyBorder="1" applyAlignment="1">
      <alignment horizontal="center"/>
    </xf>
    <xf numFmtId="0" fontId="22" fillId="0" borderId="122" xfId="0" applyFont="1" applyFill="1" applyBorder="1" applyAlignment="1">
      <alignment horizontal="left"/>
    </xf>
    <xf numFmtId="38" fontId="45" fillId="0" borderId="293" xfId="1" applyFont="1" applyBorder="1">
      <alignment vertical="center"/>
    </xf>
    <xf numFmtId="38" fontId="22" fillId="0" borderId="169" xfId="1" applyFont="1" applyBorder="1" applyAlignment="1"/>
    <xf numFmtId="0" fontId="46" fillId="28" borderId="0" xfId="0" applyFont="1" applyFill="1" applyBorder="1">
      <alignment vertical="center"/>
    </xf>
    <xf numFmtId="38" fontId="45" fillId="28" borderId="51" xfId="0" applyNumberFormat="1" applyFont="1" applyFill="1" applyBorder="1">
      <alignment vertical="center"/>
    </xf>
    <xf numFmtId="0" fontId="46" fillId="28" borderId="23" xfId="0" applyFont="1" applyFill="1" applyBorder="1">
      <alignment vertical="center"/>
    </xf>
    <xf numFmtId="0" fontId="45" fillId="0" borderId="286" xfId="0" applyFont="1" applyBorder="1">
      <alignment vertical="center"/>
    </xf>
    <xf numFmtId="0" fontId="35" fillId="0" borderId="287" xfId="0" applyFont="1" applyFill="1" applyBorder="1" applyAlignment="1"/>
    <xf numFmtId="38" fontId="22" fillId="0" borderId="294" xfId="1" applyFont="1" applyBorder="1" applyAlignment="1"/>
    <xf numFmtId="38" fontId="22" fillId="0" borderId="291" xfId="1" applyFont="1" applyBorder="1" applyAlignment="1"/>
    <xf numFmtId="178" fontId="0" fillId="10" borderId="0" xfId="10" applyNumberFormat="1" applyFont="1" applyFill="1">
      <alignment vertical="center"/>
    </xf>
    <xf numFmtId="0" fontId="100" fillId="9" borderId="247" xfId="0" applyFont="1" applyFill="1" applyBorder="1">
      <alignment vertical="center"/>
    </xf>
    <xf numFmtId="0" fontId="101" fillId="9" borderId="250" xfId="0" applyFont="1" applyFill="1" applyBorder="1">
      <alignment vertical="center"/>
    </xf>
    <xf numFmtId="0" fontId="38" fillId="9" borderId="250" xfId="0" applyFont="1" applyFill="1" applyBorder="1">
      <alignment vertical="center"/>
    </xf>
    <xf numFmtId="0" fontId="103" fillId="9" borderId="247" xfId="0" applyFont="1" applyFill="1" applyBorder="1">
      <alignment vertical="center"/>
    </xf>
    <xf numFmtId="0" fontId="0" fillId="21" borderId="0" xfId="0" quotePrefix="1" applyFill="1">
      <alignment vertical="center"/>
    </xf>
    <xf numFmtId="38" fontId="66" fillId="21" borderId="23" xfId="1" applyFont="1" applyFill="1" applyBorder="1" applyAlignment="1">
      <alignment vertical="center"/>
    </xf>
    <xf numFmtId="38" fontId="61" fillId="21" borderId="23" xfId="1" applyFont="1" applyFill="1" applyBorder="1" applyAlignment="1">
      <alignment vertical="center"/>
    </xf>
    <xf numFmtId="38" fontId="66" fillId="21" borderId="25" xfId="1" applyFont="1" applyFill="1" applyBorder="1" applyAlignment="1">
      <alignment vertical="center"/>
    </xf>
    <xf numFmtId="176" fontId="2" fillId="0" borderId="193" xfId="1" applyNumberFormat="1" applyFont="1" applyBorder="1" applyAlignment="1"/>
    <xf numFmtId="176" fontId="2" fillId="0" borderId="194" xfId="1" applyNumberFormat="1" applyFont="1" applyBorder="1" applyAlignment="1"/>
    <xf numFmtId="176" fontId="2" fillId="0" borderId="195" xfId="1" applyNumberFormat="1" applyFont="1" applyBorder="1" applyAlignment="1"/>
    <xf numFmtId="176" fontId="2" fillId="0" borderId="196" xfId="1" applyNumberFormat="1" applyFont="1" applyBorder="1" applyAlignment="1"/>
    <xf numFmtId="176" fontId="2" fillId="0" borderId="172" xfId="1" applyNumberFormat="1" applyFont="1" applyBorder="1" applyAlignment="1"/>
    <xf numFmtId="176" fontId="2" fillId="0" borderId="200" xfId="1" applyNumberFormat="1" applyFont="1" applyBorder="1" applyAlignment="1"/>
    <xf numFmtId="176" fontId="2" fillId="0" borderId="173" xfId="1" applyNumberFormat="1" applyFont="1" applyBorder="1" applyAlignment="1"/>
    <xf numFmtId="176" fontId="2" fillId="0" borderId="201" xfId="1" applyNumberFormat="1" applyFont="1" applyBorder="1" applyAlignment="1"/>
    <xf numFmtId="176" fontId="2" fillId="0" borderId="4" xfId="1" applyNumberFormat="1" applyFont="1" applyBorder="1" applyAlignment="1"/>
    <xf numFmtId="176" fontId="2" fillId="0" borderId="15" xfId="1" applyNumberFormat="1" applyFont="1" applyBorder="1" applyAlignment="1"/>
    <xf numFmtId="176" fontId="2" fillId="0" borderId="3" xfId="1" applyNumberFormat="1" applyFont="1" applyBorder="1" applyAlignment="1"/>
    <xf numFmtId="176" fontId="2" fillId="0" borderId="203" xfId="1" applyNumberFormat="1" applyFont="1" applyBorder="1" applyAlignment="1"/>
    <xf numFmtId="176" fontId="2" fillId="0" borderId="204" xfId="1" applyNumberFormat="1" applyFont="1" applyBorder="1" applyAlignment="1"/>
    <xf numFmtId="176" fontId="2" fillId="0" borderId="205" xfId="1" applyNumberFormat="1" applyFont="1" applyBorder="1" applyAlignment="1"/>
    <xf numFmtId="176" fontId="2" fillId="0" borderId="174" xfId="1" applyNumberFormat="1" applyFont="1" applyBorder="1" applyAlignment="1"/>
    <xf numFmtId="176" fontId="2" fillId="0" borderId="197" xfId="1" applyNumberFormat="1" applyFont="1" applyBorder="1" applyAlignment="1"/>
    <xf numFmtId="176" fontId="2" fillId="0" borderId="198" xfId="1" applyNumberFormat="1" applyFont="1" applyBorder="1" applyAlignment="1"/>
    <xf numFmtId="176" fontId="2" fillId="0" borderId="199" xfId="1" applyNumberFormat="1" applyFont="1" applyBorder="1" applyAlignment="1"/>
    <xf numFmtId="176" fontId="2" fillId="0" borderId="199" xfId="1" applyNumberFormat="1" applyFont="1" applyBorder="1" applyAlignment="1">
      <alignment horizontal="right"/>
    </xf>
    <xf numFmtId="176" fontId="2" fillId="0" borderId="197" xfId="1" applyNumberFormat="1" applyFont="1" applyBorder="1" applyAlignment="1">
      <alignment horizontal="right"/>
    </xf>
    <xf numFmtId="176" fontId="2" fillId="0" borderId="198" xfId="1" applyNumberFormat="1" applyFont="1" applyBorder="1" applyAlignment="1">
      <alignment horizontal="right"/>
    </xf>
    <xf numFmtId="176" fontId="2" fillId="0" borderId="206" xfId="1" applyNumberFormat="1" applyFont="1" applyBorder="1" applyAlignment="1"/>
    <xf numFmtId="176" fontId="2" fillId="0" borderId="209" xfId="1" applyNumberFormat="1" applyFont="1" applyBorder="1" applyAlignment="1"/>
    <xf numFmtId="176" fontId="2" fillId="0" borderId="290" xfId="1" applyNumberFormat="1" applyFont="1" applyBorder="1" applyAlignment="1"/>
    <xf numFmtId="176" fontId="2" fillId="0" borderId="208" xfId="1" applyNumberFormat="1" applyFont="1" applyBorder="1" applyAlignment="1"/>
    <xf numFmtId="176" fontId="2" fillId="0" borderId="202" xfId="1" applyNumberFormat="1" applyFont="1" applyBorder="1" applyAlignment="1"/>
    <xf numFmtId="176" fontId="2" fillId="0" borderId="207" xfId="1" applyNumberFormat="1" applyFont="1" applyBorder="1" applyAlignment="1"/>
    <xf numFmtId="0" fontId="3" fillId="0" borderId="295" xfId="0" applyFont="1" applyFill="1" applyBorder="1" applyAlignment="1"/>
    <xf numFmtId="0" fontId="3" fillId="0" borderId="296" xfId="0" applyFont="1" applyFill="1" applyBorder="1" applyAlignment="1"/>
    <xf numFmtId="0" fontId="72" fillId="10" borderId="0" xfId="0" applyFont="1" applyFill="1" applyBorder="1" applyAlignment="1">
      <alignment horizontal="right" vertical="center"/>
    </xf>
    <xf numFmtId="38" fontId="65" fillId="10" borderId="0" xfId="0" applyNumberFormat="1" applyFont="1" applyFill="1" applyBorder="1" applyAlignment="1">
      <alignment horizontal="right" vertical="center"/>
    </xf>
    <xf numFmtId="9" fontId="65" fillId="10" borderId="0" xfId="0" applyNumberFormat="1" applyFont="1" applyFill="1" applyBorder="1" applyAlignment="1">
      <alignment horizontal="right" vertical="center"/>
    </xf>
    <xf numFmtId="0" fontId="65" fillId="10" borderId="0" xfId="0" applyFont="1" applyFill="1" applyBorder="1" applyAlignment="1">
      <alignment horizontal="right" vertical="center"/>
    </xf>
    <xf numFmtId="0" fontId="0" fillId="10" borderId="0" xfId="0" applyFont="1" applyFill="1" applyBorder="1" applyAlignment="1">
      <alignment horizontal="center" vertical="center"/>
    </xf>
    <xf numFmtId="38" fontId="65" fillId="10" borderId="0" xfId="1" applyFont="1" applyFill="1" applyBorder="1" applyAlignment="1">
      <alignment horizontal="right" vertical="center"/>
    </xf>
    <xf numFmtId="38" fontId="41" fillId="21" borderId="260" xfId="1" applyFont="1" applyFill="1" applyBorder="1" applyAlignment="1">
      <alignment horizontal="left" vertical="center" wrapText="1"/>
    </xf>
    <xf numFmtId="38" fontId="41" fillId="21" borderId="261" xfId="1" applyFont="1" applyFill="1" applyBorder="1" applyAlignment="1">
      <alignment horizontal="left" vertical="center" wrapText="1"/>
    </xf>
    <xf numFmtId="38" fontId="41" fillId="21" borderId="188" xfId="1" applyFont="1" applyFill="1" applyBorder="1" applyAlignment="1">
      <alignment horizontal="left" vertical="center" wrapText="1"/>
    </xf>
    <xf numFmtId="0" fontId="2" fillId="10" borderId="49" xfId="0" applyFont="1" applyFill="1" applyBorder="1" applyAlignment="1">
      <alignment horizontal="center" vertical="center"/>
    </xf>
    <xf numFmtId="0" fontId="2" fillId="10" borderId="104" xfId="0" applyFont="1" applyFill="1" applyBorder="1" applyAlignment="1">
      <alignment horizontal="center" vertical="center"/>
    </xf>
    <xf numFmtId="0" fontId="51" fillId="0" borderId="39" xfId="0" applyFont="1" applyBorder="1" applyAlignment="1">
      <alignment horizontal="center"/>
    </xf>
    <xf numFmtId="0" fontId="52" fillId="0" borderId="40" xfId="0" applyFont="1" applyBorder="1" applyAlignment="1">
      <alignment horizontal="center"/>
    </xf>
    <xf numFmtId="0" fontId="32" fillId="22" borderId="0" xfId="0" applyFont="1" applyFill="1" applyAlignment="1">
      <alignment horizontal="center" vertical="center" wrapText="1"/>
    </xf>
    <xf numFmtId="0" fontId="32" fillId="23" borderId="0" xfId="0" applyFont="1" applyFill="1" applyAlignment="1">
      <alignment horizontal="center" vertical="center" wrapText="1"/>
    </xf>
    <xf numFmtId="0" fontId="16" fillId="0" borderId="39" xfId="0" applyFont="1" applyBorder="1" applyAlignment="1">
      <alignment horizontal="center"/>
    </xf>
    <xf numFmtId="0" fontId="16" fillId="0" borderId="40" xfId="0" applyFont="1" applyBorder="1" applyAlignment="1">
      <alignment horizontal="center"/>
    </xf>
  </cellXfs>
  <cellStyles count="12">
    <cellStyle name="パーセント" xfId="2" builtinId="5"/>
    <cellStyle name="パーセント 2" xfId="10"/>
    <cellStyle name="パーセント 3" xfId="4"/>
    <cellStyle name="ハイパーリンク" xfId="11" builtinId="8"/>
    <cellStyle name="桁区切り" xfId="1" builtinId="6"/>
    <cellStyle name="桁区切り 2" xfId="6"/>
    <cellStyle name="桁区切り 5" xfId="3"/>
    <cellStyle name="標準" xfId="0" builtinId="0"/>
    <cellStyle name="標準 2" xfId="5"/>
    <cellStyle name="標準 3" xfId="7"/>
    <cellStyle name="標準 3 2" xfId="9"/>
    <cellStyle name="標準 4" xfId="8"/>
  </cellStyles>
  <dxfs count="2">
    <dxf>
      <fill>
        <patternFill>
          <bgColor rgb="FFFF0000"/>
        </patternFill>
      </fill>
    </dxf>
    <dxf>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12035995500564E-2"/>
          <c:y val="0.35391267986214403"/>
          <c:w val="0.91280359277325773"/>
          <c:h val="0.55921318017519484"/>
        </c:manualLayout>
      </c:layout>
      <c:barChart>
        <c:barDir val="bar"/>
        <c:grouping val="stacked"/>
        <c:varyColors val="0"/>
        <c:ser>
          <c:idx val="0"/>
          <c:order val="0"/>
          <c:tx>
            <c:strRef>
              <c:f>入門編_計算シート!$B$60</c:f>
              <c:strCache>
                <c:ptCount val="1"/>
                <c:pt idx="0">
                  <c:v>売電収入</c:v>
                </c:pt>
              </c:strCache>
            </c:strRef>
          </c:tx>
          <c:spPr>
            <a:solidFill>
              <a:schemeClr val="accent1"/>
            </a:solidFill>
            <a:ln>
              <a:noFill/>
            </a:ln>
            <a:effectLst/>
          </c:spPr>
          <c:invertIfNegative val="0"/>
          <c:cat>
            <c:strRef>
              <c:f>入門編_計算シート!$C$59:$D$59</c:f>
              <c:strCache>
                <c:ptCount val="2"/>
                <c:pt idx="0">
                  <c:v>収入</c:v>
                </c:pt>
                <c:pt idx="1">
                  <c:v>支出</c:v>
                </c:pt>
              </c:strCache>
            </c:strRef>
          </c:cat>
          <c:val>
            <c:numRef>
              <c:f>入門編_計算シート!$C$60:$D$60</c:f>
              <c:numCache>
                <c:formatCode>#,##0.00_);[Red]\(#,##0.00\)</c:formatCode>
                <c:ptCount val="2"/>
                <c:pt idx="0">
                  <c:v>68.270664902343768</c:v>
                </c:pt>
              </c:numCache>
            </c:numRef>
          </c:val>
          <c:extLst>
            <c:ext xmlns:c16="http://schemas.microsoft.com/office/drawing/2014/chart" uri="{C3380CC4-5D6E-409C-BE32-E72D297353CC}">
              <c16:uniqueId val="{00000000-8A62-4139-BF71-04C4DC0E1AB7}"/>
            </c:ext>
          </c:extLst>
        </c:ser>
        <c:ser>
          <c:idx val="1"/>
          <c:order val="1"/>
          <c:tx>
            <c:strRef>
              <c:f>入門編_計算シート!$B$61</c:f>
              <c:strCache>
                <c:ptCount val="1"/>
                <c:pt idx="0">
                  <c:v>廃棄物受入収入</c:v>
                </c:pt>
              </c:strCache>
            </c:strRef>
          </c:tx>
          <c:spPr>
            <a:solidFill>
              <a:schemeClr val="accent2"/>
            </a:solidFill>
            <a:ln>
              <a:noFill/>
            </a:ln>
            <a:effectLst/>
          </c:spPr>
          <c:invertIfNegative val="0"/>
          <c:cat>
            <c:strRef>
              <c:f>入門編_計算シート!$C$59:$D$59</c:f>
              <c:strCache>
                <c:ptCount val="2"/>
                <c:pt idx="0">
                  <c:v>収入</c:v>
                </c:pt>
                <c:pt idx="1">
                  <c:v>支出</c:v>
                </c:pt>
              </c:strCache>
            </c:strRef>
          </c:cat>
          <c:val>
            <c:numRef>
              <c:f>入門編_計算シート!$C$61:$D$61</c:f>
              <c:numCache>
                <c:formatCode>#,##0.00_);[Red]\(#,##0.00\)</c:formatCode>
                <c:ptCount val="2"/>
                <c:pt idx="0">
                  <c:v>231</c:v>
                </c:pt>
              </c:numCache>
            </c:numRef>
          </c:val>
          <c:extLst>
            <c:ext xmlns:c16="http://schemas.microsoft.com/office/drawing/2014/chart" uri="{C3380CC4-5D6E-409C-BE32-E72D297353CC}">
              <c16:uniqueId val="{00000001-8A62-4139-BF71-04C4DC0E1AB7}"/>
            </c:ext>
          </c:extLst>
        </c:ser>
        <c:ser>
          <c:idx val="2"/>
          <c:order val="2"/>
          <c:tx>
            <c:strRef>
              <c:f>入門編_計算シート!$B$62</c:f>
              <c:strCache>
                <c:ptCount val="1"/>
                <c:pt idx="0">
                  <c:v>その他収入</c:v>
                </c:pt>
              </c:strCache>
            </c:strRef>
          </c:tx>
          <c:spPr>
            <a:solidFill>
              <a:schemeClr val="accent3"/>
            </a:solidFill>
            <a:ln>
              <a:noFill/>
            </a:ln>
            <a:effectLst/>
          </c:spPr>
          <c:invertIfNegative val="0"/>
          <c:cat>
            <c:strRef>
              <c:f>入門編_計算シート!$C$59:$D$59</c:f>
              <c:strCache>
                <c:ptCount val="2"/>
                <c:pt idx="0">
                  <c:v>収入</c:v>
                </c:pt>
                <c:pt idx="1">
                  <c:v>支出</c:v>
                </c:pt>
              </c:strCache>
            </c:strRef>
          </c:cat>
          <c:val>
            <c:numRef>
              <c:f>入門編_計算シート!$C$62:$D$62</c:f>
              <c:numCache>
                <c:formatCode>#,##0.00_);[Red]\(#,##0.00\)</c:formatCode>
                <c:ptCount val="2"/>
                <c:pt idx="0">
                  <c:v>0.32999999999999996</c:v>
                </c:pt>
              </c:numCache>
            </c:numRef>
          </c:val>
          <c:extLst xmlns:c15="http://schemas.microsoft.com/office/drawing/2012/chart">
            <c:ext xmlns:c16="http://schemas.microsoft.com/office/drawing/2014/chart" uri="{C3380CC4-5D6E-409C-BE32-E72D297353CC}">
              <c16:uniqueId val="{00000002-8A62-4139-BF71-04C4DC0E1AB7}"/>
            </c:ext>
          </c:extLst>
        </c:ser>
        <c:ser>
          <c:idx val="3"/>
          <c:order val="3"/>
          <c:tx>
            <c:strRef>
              <c:f>入門編_計算シート!$B$63</c:f>
              <c:strCache>
                <c:ptCount val="1"/>
                <c:pt idx="0">
                  <c:v>補助金</c:v>
                </c:pt>
              </c:strCache>
            </c:strRef>
          </c:tx>
          <c:spPr>
            <a:solidFill>
              <a:schemeClr val="accent4"/>
            </a:solidFill>
            <a:ln>
              <a:noFill/>
            </a:ln>
            <a:effectLst/>
          </c:spPr>
          <c:invertIfNegative val="0"/>
          <c:cat>
            <c:strRef>
              <c:f>入門編_計算シート!$C$59:$D$59</c:f>
              <c:strCache>
                <c:ptCount val="2"/>
                <c:pt idx="0">
                  <c:v>収入</c:v>
                </c:pt>
                <c:pt idx="1">
                  <c:v>支出</c:v>
                </c:pt>
              </c:strCache>
            </c:strRef>
          </c:cat>
          <c:val>
            <c:numRef>
              <c:f>入門編_計算シート!$C$63:$D$63</c:f>
              <c:numCache>
                <c:formatCode>#,##0.00_);[Red]\(#,##0.00\)</c:formatCode>
                <c:ptCount val="2"/>
                <c:pt idx="0">
                  <c:v>0</c:v>
                </c:pt>
              </c:numCache>
            </c:numRef>
          </c:val>
          <c:extLst xmlns:c15="http://schemas.microsoft.com/office/drawing/2012/chart">
            <c:ext xmlns:c16="http://schemas.microsoft.com/office/drawing/2014/chart" uri="{C3380CC4-5D6E-409C-BE32-E72D297353CC}">
              <c16:uniqueId val="{00000003-8A62-4139-BF71-04C4DC0E1AB7}"/>
            </c:ext>
          </c:extLst>
        </c:ser>
        <c:ser>
          <c:idx val="4"/>
          <c:order val="4"/>
          <c:tx>
            <c:strRef>
              <c:f>入門編_計算シート!$B$64</c:f>
              <c:strCache>
                <c:ptCount val="1"/>
                <c:pt idx="0">
                  <c:v>設備費</c:v>
                </c:pt>
              </c:strCache>
            </c:strRef>
          </c:tx>
          <c:spPr>
            <a:solidFill>
              <a:schemeClr val="accent5"/>
            </a:solidFill>
            <a:ln>
              <a:noFill/>
            </a:ln>
            <a:effectLst/>
          </c:spPr>
          <c:invertIfNegative val="0"/>
          <c:cat>
            <c:strRef>
              <c:f>入門編_計算シート!$C$59:$D$59</c:f>
              <c:strCache>
                <c:ptCount val="2"/>
                <c:pt idx="0">
                  <c:v>収入</c:v>
                </c:pt>
                <c:pt idx="1">
                  <c:v>支出</c:v>
                </c:pt>
              </c:strCache>
            </c:strRef>
          </c:cat>
          <c:val>
            <c:numRef>
              <c:f>入門編_計算シート!$C$64:$D$64</c:f>
              <c:numCache>
                <c:formatCode>#,##0.00_);[Red]\(#,##0.00\)</c:formatCode>
                <c:ptCount val="2"/>
                <c:pt idx="1">
                  <c:v>58.638366676271502</c:v>
                </c:pt>
              </c:numCache>
            </c:numRef>
          </c:val>
          <c:extLst xmlns:c15="http://schemas.microsoft.com/office/drawing/2012/chart">
            <c:ext xmlns:c16="http://schemas.microsoft.com/office/drawing/2014/chart" uri="{C3380CC4-5D6E-409C-BE32-E72D297353CC}">
              <c16:uniqueId val="{00000004-8A62-4139-BF71-04C4DC0E1AB7}"/>
            </c:ext>
          </c:extLst>
        </c:ser>
        <c:ser>
          <c:idx val="6"/>
          <c:order val="5"/>
          <c:tx>
            <c:strRef>
              <c:f>入門編_計算シート!$B$65</c:f>
              <c:strCache>
                <c:ptCount val="1"/>
                <c:pt idx="0">
                  <c:v>工事費</c:v>
                </c:pt>
              </c:strCache>
            </c:strRef>
          </c:tx>
          <c:spPr>
            <a:solidFill>
              <a:schemeClr val="accent1">
                <a:lumMod val="60000"/>
              </a:schemeClr>
            </a:solidFill>
            <a:ln>
              <a:noFill/>
            </a:ln>
            <a:effectLst/>
          </c:spPr>
          <c:invertIfNegative val="0"/>
          <c:cat>
            <c:strRef>
              <c:f>入門編_計算シート!$C$59:$D$59</c:f>
              <c:strCache>
                <c:ptCount val="2"/>
                <c:pt idx="0">
                  <c:v>収入</c:v>
                </c:pt>
                <c:pt idx="1">
                  <c:v>支出</c:v>
                </c:pt>
              </c:strCache>
            </c:strRef>
          </c:cat>
          <c:val>
            <c:numRef>
              <c:f>入門編_計算シート!$C$65:$D$65</c:f>
              <c:numCache>
                <c:formatCode>#,##0.00_);[Red]\(#,##0.00\)</c:formatCode>
                <c:ptCount val="2"/>
                <c:pt idx="1">
                  <c:v>19.546122225423836</c:v>
                </c:pt>
              </c:numCache>
            </c:numRef>
          </c:val>
          <c:extLst>
            <c:ext xmlns:c16="http://schemas.microsoft.com/office/drawing/2014/chart" uri="{C3380CC4-5D6E-409C-BE32-E72D297353CC}">
              <c16:uniqueId val="{00000005-8A62-4139-BF71-04C4DC0E1AB7}"/>
            </c:ext>
          </c:extLst>
        </c:ser>
        <c:ser>
          <c:idx val="8"/>
          <c:order val="6"/>
          <c:tx>
            <c:strRef>
              <c:f>入門編_計算シート!$B$66</c:f>
              <c:strCache>
                <c:ptCount val="1"/>
                <c:pt idx="0">
                  <c:v>薬剤・消耗品費用</c:v>
                </c:pt>
              </c:strCache>
            </c:strRef>
          </c:tx>
          <c:spPr>
            <a:solidFill>
              <a:schemeClr val="accent3">
                <a:lumMod val="60000"/>
              </a:schemeClr>
            </a:solidFill>
            <a:ln>
              <a:noFill/>
            </a:ln>
            <a:effectLst/>
          </c:spPr>
          <c:invertIfNegative val="0"/>
          <c:cat>
            <c:strRef>
              <c:f>入門編_計算シート!$C$59:$D$59</c:f>
              <c:strCache>
                <c:ptCount val="2"/>
                <c:pt idx="0">
                  <c:v>収入</c:v>
                </c:pt>
                <c:pt idx="1">
                  <c:v>支出</c:v>
                </c:pt>
              </c:strCache>
            </c:strRef>
          </c:cat>
          <c:val>
            <c:numRef>
              <c:f>入門編_計算シート!$C$66:$D$66</c:f>
              <c:numCache>
                <c:formatCode>#,##0.00_);[Red]\(#,##0.00\)</c:formatCode>
                <c:ptCount val="2"/>
                <c:pt idx="1">
                  <c:v>57.525830544324243</c:v>
                </c:pt>
              </c:numCache>
            </c:numRef>
          </c:val>
          <c:extLst>
            <c:ext xmlns:c16="http://schemas.microsoft.com/office/drawing/2014/chart" uri="{C3380CC4-5D6E-409C-BE32-E72D297353CC}">
              <c16:uniqueId val="{00000006-8A62-4139-BF71-04C4DC0E1AB7}"/>
            </c:ext>
          </c:extLst>
        </c:ser>
        <c:ser>
          <c:idx val="9"/>
          <c:order val="7"/>
          <c:tx>
            <c:strRef>
              <c:f>入門編_計算シート!$B$67</c:f>
              <c:strCache>
                <c:ptCount val="1"/>
                <c:pt idx="0">
                  <c:v>ユーティリティー費用</c:v>
                </c:pt>
              </c:strCache>
            </c:strRef>
          </c:tx>
          <c:spPr>
            <a:solidFill>
              <a:schemeClr val="accent4">
                <a:lumMod val="60000"/>
              </a:schemeClr>
            </a:solidFill>
            <a:ln>
              <a:noFill/>
            </a:ln>
            <a:effectLst/>
          </c:spPr>
          <c:invertIfNegative val="0"/>
          <c:cat>
            <c:strRef>
              <c:f>入門編_計算シート!$C$59:$D$59</c:f>
              <c:strCache>
                <c:ptCount val="2"/>
                <c:pt idx="0">
                  <c:v>収入</c:v>
                </c:pt>
                <c:pt idx="1">
                  <c:v>支出</c:v>
                </c:pt>
              </c:strCache>
            </c:strRef>
          </c:cat>
          <c:val>
            <c:numRef>
              <c:f>入門編_計算シート!$C$67:$D$67</c:f>
              <c:numCache>
                <c:formatCode>#,##0.00_);[Red]\(#,##0.00\)</c:formatCode>
                <c:ptCount val="2"/>
                <c:pt idx="1">
                  <c:v>24.65392737613897</c:v>
                </c:pt>
              </c:numCache>
            </c:numRef>
          </c:val>
          <c:extLst>
            <c:ext xmlns:c16="http://schemas.microsoft.com/office/drawing/2014/chart" uri="{C3380CC4-5D6E-409C-BE32-E72D297353CC}">
              <c16:uniqueId val="{00000007-8A62-4139-BF71-04C4DC0E1AB7}"/>
            </c:ext>
          </c:extLst>
        </c:ser>
        <c:ser>
          <c:idx val="21"/>
          <c:order val="8"/>
          <c:tx>
            <c:strRef>
              <c:f>入門編_計算シート!$B$68</c:f>
              <c:strCache>
                <c:ptCount val="1"/>
                <c:pt idx="0">
                  <c:v>メンテナンス費用</c:v>
                </c:pt>
              </c:strCache>
            </c:strRef>
          </c:tx>
          <c:spPr>
            <a:solidFill>
              <a:schemeClr val="accent4">
                <a:lumMod val="80000"/>
              </a:schemeClr>
            </a:solidFill>
            <a:ln>
              <a:noFill/>
            </a:ln>
            <a:effectLst/>
          </c:spPr>
          <c:invertIfNegative val="0"/>
          <c:cat>
            <c:strRef>
              <c:f>入門編_計算シート!$C$59:$D$59</c:f>
              <c:strCache>
                <c:ptCount val="2"/>
                <c:pt idx="0">
                  <c:v>収入</c:v>
                </c:pt>
                <c:pt idx="1">
                  <c:v>支出</c:v>
                </c:pt>
              </c:strCache>
            </c:strRef>
          </c:cat>
          <c:val>
            <c:numRef>
              <c:f>入門編_計算シート!$C$68:$D$68</c:f>
              <c:numCache>
                <c:formatCode>#,##0.00_);[Red]\(#,##0.00\)</c:formatCode>
                <c:ptCount val="2"/>
                <c:pt idx="1">
                  <c:v>41.089878960231587</c:v>
                </c:pt>
              </c:numCache>
            </c:numRef>
          </c:val>
          <c:extLst>
            <c:ext xmlns:c16="http://schemas.microsoft.com/office/drawing/2014/chart" uri="{C3380CC4-5D6E-409C-BE32-E72D297353CC}">
              <c16:uniqueId val="{00000008-8A62-4139-BF71-04C4DC0E1AB7}"/>
            </c:ext>
          </c:extLst>
        </c:ser>
        <c:ser>
          <c:idx val="22"/>
          <c:order val="9"/>
          <c:tx>
            <c:strRef>
              <c:f>入門編_計算シート!$B$69</c:f>
              <c:strCache>
                <c:ptCount val="1"/>
                <c:pt idx="0">
                  <c:v>人件費</c:v>
                </c:pt>
              </c:strCache>
            </c:strRef>
          </c:tx>
          <c:spPr>
            <a:solidFill>
              <a:schemeClr val="accent5">
                <a:lumMod val="80000"/>
              </a:schemeClr>
            </a:solidFill>
            <a:ln>
              <a:noFill/>
            </a:ln>
            <a:effectLst/>
          </c:spPr>
          <c:invertIfNegative val="0"/>
          <c:cat>
            <c:strRef>
              <c:f>入門編_計算シート!$C$59:$D$59</c:f>
              <c:strCache>
                <c:ptCount val="2"/>
                <c:pt idx="0">
                  <c:v>収入</c:v>
                </c:pt>
                <c:pt idx="1">
                  <c:v>支出</c:v>
                </c:pt>
              </c:strCache>
            </c:strRef>
          </c:cat>
          <c:val>
            <c:numRef>
              <c:f>入門編_計算シート!$C$69:$D$69</c:f>
              <c:numCache>
                <c:formatCode>#,##0.00_);[Red]\(#,##0.00\)</c:formatCode>
                <c:ptCount val="2"/>
                <c:pt idx="1">
                  <c:v>24.65392737613897</c:v>
                </c:pt>
              </c:numCache>
            </c:numRef>
          </c:val>
          <c:extLst>
            <c:ext xmlns:c16="http://schemas.microsoft.com/office/drawing/2014/chart" uri="{C3380CC4-5D6E-409C-BE32-E72D297353CC}">
              <c16:uniqueId val="{00000009-8A62-4139-BF71-04C4DC0E1AB7}"/>
            </c:ext>
          </c:extLst>
        </c:ser>
        <c:ser>
          <c:idx val="7"/>
          <c:order val="10"/>
          <c:tx>
            <c:strRef>
              <c:f>入門編_計算シート!$B$70</c:f>
              <c:strCache>
                <c:ptCount val="1"/>
                <c:pt idx="0">
                  <c:v>一般管理費</c:v>
                </c:pt>
              </c:strCache>
            </c:strRef>
          </c:tx>
          <c:spPr>
            <a:solidFill>
              <a:schemeClr val="accent2">
                <a:lumMod val="60000"/>
              </a:schemeClr>
            </a:solidFill>
            <a:ln>
              <a:noFill/>
            </a:ln>
            <a:effectLst/>
          </c:spPr>
          <c:invertIfNegative val="0"/>
          <c:cat>
            <c:strRef>
              <c:f>入門編_計算シート!$C$59:$D$59</c:f>
              <c:strCache>
                <c:ptCount val="2"/>
                <c:pt idx="0">
                  <c:v>収入</c:v>
                </c:pt>
                <c:pt idx="1">
                  <c:v>支出</c:v>
                </c:pt>
              </c:strCache>
            </c:strRef>
          </c:cat>
          <c:val>
            <c:numRef>
              <c:f>入門編_計算シート!$C$70:$D$70</c:f>
              <c:numCache>
                <c:formatCode>#,##0.00_);[Red]\(#,##0.00\)</c:formatCode>
                <c:ptCount val="2"/>
                <c:pt idx="1">
                  <c:v>16.435951584092642</c:v>
                </c:pt>
              </c:numCache>
            </c:numRef>
          </c:val>
          <c:extLst>
            <c:ext xmlns:c16="http://schemas.microsoft.com/office/drawing/2014/chart" uri="{C3380CC4-5D6E-409C-BE32-E72D297353CC}">
              <c16:uniqueId val="{0000000A-8A62-4139-BF71-04C4DC0E1AB7}"/>
            </c:ext>
          </c:extLst>
        </c:ser>
        <c:ser>
          <c:idx val="10"/>
          <c:order val="11"/>
          <c:tx>
            <c:strRef>
              <c:f>入門編_計算シート!$B$71</c:f>
              <c:strCache>
                <c:ptCount val="1"/>
                <c:pt idx="0">
                  <c:v>固定資産税等</c:v>
                </c:pt>
              </c:strCache>
            </c:strRef>
          </c:tx>
          <c:spPr>
            <a:solidFill>
              <a:schemeClr val="accent5">
                <a:lumMod val="60000"/>
              </a:schemeClr>
            </a:solidFill>
            <a:ln>
              <a:noFill/>
            </a:ln>
            <a:effectLst/>
          </c:spPr>
          <c:invertIfNegative val="0"/>
          <c:cat>
            <c:strRef>
              <c:f>入門編_計算シート!$C$59:$D$59</c:f>
              <c:strCache>
                <c:ptCount val="2"/>
                <c:pt idx="0">
                  <c:v>収入</c:v>
                </c:pt>
                <c:pt idx="1">
                  <c:v>支出</c:v>
                </c:pt>
              </c:strCache>
            </c:strRef>
          </c:cat>
          <c:val>
            <c:numRef>
              <c:f>入門編_計算シート!$C$71:$D$71</c:f>
              <c:numCache>
                <c:formatCode>#,##0.00_);[Red]\(#,##0.00\)</c:formatCode>
                <c:ptCount val="2"/>
                <c:pt idx="1">
                  <c:v>28.99178762555826</c:v>
                </c:pt>
              </c:numCache>
            </c:numRef>
          </c:val>
          <c:extLst>
            <c:ext xmlns:c16="http://schemas.microsoft.com/office/drawing/2014/chart" uri="{C3380CC4-5D6E-409C-BE32-E72D297353CC}">
              <c16:uniqueId val="{0000000B-8A62-4139-BF71-04C4DC0E1AB7}"/>
            </c:ext>
          </c:extLst>
        </c:ser>
        <c:ser>
          <c:idx val="11"/>
          <c:order val="12"/>
          <c:tx>
            <c:strRef>
              <c:f>入門編_計算シート!$B$72</c:f>
              <c:strCache>
                <c:ptCount val="1"/>
                <c:pt idx="0">
                  <c:v>金利</c:v>
                </c:pt>
              </c:strCache>
            </c:strRef>
          </c:tx>
          <c:spPr>
            <a:solidFill>
              <a:schemeClr val="accent6">
                <a:lumMod val="60000"/>
              </a:schemeClr>
            </a:solidFill>
            <a:ln>
              <a:noFill/>
            </a:ln>
            <a:effectLst/>
          </c:spPr>
          <c:invertIfNegative val="0"/>
          <c:cat>
            <c:strRef>
              <c:f>入門編_計算シート!$C$59:$D$59</c:f>
              <c:strCache>
                <c:ptCount val="2"/>
                <c:pt idx="0">
                  <c:v>収入</c:v>
                </c:pt>
                <c:pt idx="1">
                  <c:v>支出</c:v>
                </c:pt>
              </c:strCache>
            </c:strRef>
          </c:cat>
          <c:val>
            <c:numRef>
              <c:f>入門編_計算シート!$C$72:$D$72</c:f>
              <c:numCache>
                <c:formatCode>#,##0.00_);[Red]\(#,##0.00\)</c:formatCode>
                <c:ptCount val="2"/>
                <c:pt idx="1">
                  <c:v>5.25</c:v>
                </c:pt>
              </c:numCache>
            </c:numRef>
          </c:val>
          <c:extLst xmlns:c15="http://schemas.microsoft.com/office/drawing/2012/chart">
            <c:ext xmlns:c16="http://schemas.microsoft.com/office/drawing/2014/chart" uri="{C3380CC4-5D6E-409C-BE32-E72D297353CC}">
              <c16:uniqueId val="{0000000D-8A62-4139-BF71-04C4DC0E1AB7}"/>
            </c:ext>
          </c:extLst>
        </c:ser>
        <c:dLbls>
          <c:showLegendKey val="0"/>
          <c:showVal val="0"/>
          <c:showCatName val="0"/>
          <c:showSerName val="0"/>
          <c:showPercent val="0"/>
          <c:showBubbleSize val="0"/>
        </c:dLbls>
        <c:gapWidth val="150"/>
        <c:overlap val="100"/>
        <c:axId val="458907216"/>
        <c:axId val="175661000"/>
        <c:extLst>
          <c:ext xmlns:c15="http://schemas.microsoft.com/office/drawing/2012/chart" uri="{02D57815-91ED-43cb-92C2-25804820EDAC}">
            <c15:filteredBarSeries>
              <c15:ser>
                <c:idx val="5"/>
                <c:order val="13"/>
                <c:tx>
                  <c:strRef>
                    <c:extLst>
                      <c:ext uri="{02D57815-91ED-43cb-92C2-25804820EDAC}">
                        <c15:formulaRef>
                          <c15:sqref>入門編_計算シート!$B$73</c15:sqref>
                        </c15:formulaRef>
                      </c:ext>
                    </c:extLst>
                    <c:strCache>
                      <c:ptCount val="1"/>
                      <c:pt idx="0">
                        <c:v>合計</c:v>
                      </c:pt>
                    </c:strCache>
                  </c:strRef>
                </c:tx>
                <c:spPr>
                  <a:solidFill>
                    <a:schemeClr val="accent6"/>
                  </a:solidFill>
                  <a:ln>
                    <a:noFill/>
                  </a:ln>
                  <a:effectLst/>
                </c:spPr>
                <c:invertIfNegative val="0"/>
                <c:cat>
                  <c:strRef>
                    <c:extLst>
                      <c:ext uri="{02D57815-91ED-43cb-92C2-25804820EDAC}">
                        <c15:formulaRef>
                          <c15:sqref>入門編_計算シート!$C$59:$D$59</c15:sqref>
                        </c15:formulaRef>
                      </c:ext>
                    </c:extLst>
                    <c:strCache>
                      <c:ptCount val="2"/>
                      <c:pt idx="0">
                        <c:v>収入</c:v>
                      </c:pt>
                      <c:pt idx="1">
                        <c:v>支出</c:v>
                      </c:pt>
                    </c:strCache>
                  </c:strRef>
                </c:cat>
                <c:val>
                  <c:numRef>
                    <c:extLst>
                      <c:ext uri="{02D57815-91ED-43cb-92C2-25804820EDAC}">
                        <c15:formulaRef>
                          <c15:sqref>入門編_計算シート!$C$73:$D$73</c15:sqref>
                        </c15:formulaRef>
                      </c:ext>
                    </c:extLst>
                    <c:numCache>
                      <c:formatCode>#,##0_);[Red]\(#,##0\)</c:formatCode>
                      <c:ptCount val="2"/>
                      <c:pt idx="0">
                        <c:v>299.60066490234374</c:v>
                      </c:pt>
                      <c:pt idx="1">
                        <c:v>276.78579236817995</c:v>
                      </c:pt>
                    </c:numCache>
                  </c:numRef>
                </c:val>
                <c:extLst>
                  <c:ext xmlns:c16="http://schemas.microsoft.com/office/drawing/2014/chart" uri="{C3380CC4-5D6E-409C-BE32-E72D297353CC}">
                    <c16:uniqueId val="{00000000-6BDF-459C-89E9-5C1B878C083B}"/>
                  </c:ext>
                </c:extLst>
              </c15:ser>
            </c15:filteredBarSeries>
          </c:ext>
        </c:extLst>
      </c:barChart>
      <c:valAx>
        <c:axId val="175661000"/>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907216"/>
        <c:crosses val="max"/>
        <c:crossBetween val="between"/>
      </c:valAx>
      <c:catAx>
        <c:axId val="45890721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75661000"/>
        <c:crossesAt val="0"/>
        <c:auto val="1"/>
        <c:lblAlgn val="ctr"/>
        <c:lblOffset val="0"/>
        <c:noMultiLvlLbl val="0"/>
      </c:catAx>
      <c:spPr>
        <a:noFill/>
        <a:ln>
          <a:noFill/>
        </a:ln>
        <a:effectLst/>
      </c:spPr>
    </c:plotArea>
    <c:legend>
      <c:legendPos val="t"/>
      <c:layout>
        <c:manualLayout>
          <c:xMode val="edge"/>
          <c:yMode val="edge"/>
          <c:x val="0"/>
          <c:y val="1.7259976470257798E-2"/>
          <c:w val="1"/>
          <c:h val="0.2745514873494440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67882824741167"/>
          <c:y val="0.12202161901307675"/>
          <c:w val="0.84493020723573242"/>
          <c:h val="0.65958438866268954"/>
        </c:manualLayout>
      </c:layout>
      <c:barChart>
        <c:barDir val="col"/>
        <c:grouping val="stacked"/>
        <c:varyColors val="0"/>
        <c:ser>
          <c:idx val="0"/>
          <c:order val="0"/>
          <c:spPr>
            <a:solidFill>
              <a:schemeClr val="bg2">
                <a:lumMod val="50000"/>
              </a:schemeClr>
            </a:solidFill>
            <a:ln>
              <a:noFill/>
            </a:ln>
            <a:effectLst/>
          </c:spPr>
          <c:invertIfNegative val="0"/>
          <c:cat>
            <c:strRef>
              <c:f>入門編_計算シート!$X$4:$X$6</c:f>
              <c:strCache>
                <c:ptCount val="3"/>
                <c:pt idx="0">
                  <c:v>投資額</c:v>
                </c:pt>
                <c:pt idx="1">
                  <c:v>事業収入</c:v>
                </c:pt>
                <c:pt idx="2">
                  <c:v>地域経済効果
＋事業収入</c:v>
                </c:pt>
              </c:strCache>
            </c:strRef>
          </c:cat>
          <c:val>
            <c:numRef>
              <c:f>入門編_計算シート!$Y$4:$Y$6</c:f>
              <c:numCache>
                <c:formatCode>General</c:formatCode>
                <c:ptCount val="3"/>
                <c:pt idx="0" formatCode="#,##0_);[Red]\(#,##0\)">
                  <c:v>5535.7158473635991</c:v>
                </c:pt>
              </c:numCache>
            </c:numRef>
          </c:val>
          <c:extLst>
            <c:ext xmlns:c16="http://schemas.microsoft.com/office/drawing/2014/chart" uri="{C3380CC4-5D6E-409C-BE32-E72D297353CC}">
              <c16:uniqueId val="{00000000-6F61-43B7-943A-00F24AB96809}"/>
            </c:ext>
          </c:extLst>
        </c:ser>
        <c:ser>
          <c:idx val="1"/>
          <c:order val="1"/>
          <c:spPr>
            <a:solidFill>
              <a:schemeClr val="accent1"/>
            </a:solidFill>
            <a:ln>
              <a:noFill/>
            </a:ln>
            <a:effectLst/>
          </c:spPr>
          <c:invertIfNegative val="0"/>
          <c:cat>
            <c:strRef>
              <c:f>入門編_計算シート!$X$4:$X$6</c:f>
              <c:strCache>
                <c:ptCount val="3"/>
                <c:pt idx="0">
                  <c:v>投資額</c:v>
                </c:pt>
                <c:pt idx="1">
                  <c:v>事業収入</c:v>
                </c:pt>
                <c:pt idx="2">
                  <c:v>地域経済効果
＋事業収入</c:v>
                </c:pt>
              </c:strCache>
            </c:strRef>
          </c:cat>
          <c:val>
            <c:numRef>
              <c:f>入門編_計算シート!$Z$4:$Z$6</c:f>
              <c:numCache>
                <c:formatCode>#,##0_);[Red]\(#,##0\)</c:formatCode>
                <c:ptCount val="3"/>
                <c:pt idx="1">
                  <c:v>5992.0132980468752</c:v>
                </c:pt>
                <c:pt idx="2">
                  <c:v>5992.0132980468752</c:v>
                </c:pt>
              </c:numCache>
            </c:numRef>
          </c:val>
          <c:extLst>
            <c:ext xmlns:c16="http://schemas.microsoft.com/office/drawing/2014/chart" uri="{C3380CC4-5D6E-409C-BE32-E72D297353CC}">
              <c16:uniqueId val="{00000001-6F61-43B7-943A-00F24AB96809}"/>
            </c:ext>
          </c:extLst>
        </c:ser>
        <c:ser>
          <c:idx val="2"/>
          <c:order val="2"/>
          <c:spPr>
            <a:solidFill>
              <a:schemeClr val="accent2"/>
            </a:solidFill>
            <a:ln>
              <a:noFill/>
            </a:ln>
            <a:effectLst/>
          </c:spPr>
          <c:invertIfNegative val="0"/>
          <c:cat>
            <c:strRef>
              <c:f>入門編_計算シート!$X$4:$X$6</c:f>
              <c:strCache>
                <c:ptCount val="3"/>
                <c:pt idx="0">
                  <c:v>投資額</c:v>
                </c:pt>
                <c:pt idx="1">
                  <c:v>事業収入</c:v>
                </c:pt>
                <c:pt idx="2">
                  <c:v>地域経済効果
＋事業収入</c:v>
                </c:pt>
              </c:strCache>
            </c:strRef>
          </c:cat>
          <c:val>
            <c:numRef>
              <c:f>入門編_計算シート!$AA$4:$AA$6</c:f>
              <c:numCache>
                <c:formatCode>General</c:formatCode>
                <c:ptCount val="3"/>
                <c:pt idx="2" formatCode="#,##0_);[Red]\(#,##0\)">
                  <c:v>1434.8871419914879</c:v>
                </c:pt>
              </c:numCache>
            </c:numRef>
          </c:val>
          <c:extLst>
            <c:ext xmlns:c16="http://schemas.microsoft.com/office/drawing/2014/chart" uri="{C3380CC4-5D6E-409C-BE32-E72D297353CC}">
              <c16:uniqueId val="{00000002-6F61-43B7-943A-00F24AB96809}"/>
            </c:ext>
          </c:extLst>
        </c:ser>
        <c:dLbls>
          <c:showLegendKey val="0"/>
          <c:showVal val="0"/>
          <c:showCatName val="0"/>
          <c:showSerName val="0"/>
          <c:showPercent val="0"/>
          <c:showBubbleSize val="0"/>
        </c:dLbls>
        <c:gapWidth val="150"/>
        <c:overlap val="100"/>
        <c:axId val="388436248"/>
        <c:axId val="458452568"/>
      </c:barChart>
      <c:catAx>
        <c:axId val="38843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2568"/>
        <c:crosses val="autoZero"/>
        <c:auto val="1"/>
        <c:lblAlgn val="ctr"/>
        <c:lblOffset val="100"/>
        <c:noMultiLvlLbl val="0"/>
      </c:catAx>
      <c:valAx>
        <c:axId val="4584525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88436248"/>
        <c:crosses val="autoZero"/>
        <c:crossBetween val="between"/>
      </c:valAx>
      <c:spPr>
        <a:noFill/>
        <a:ln>
          <a:noFill/>
        </a:ln>
        <a:effectLst/>
      </c:spPr>
    </c:plotArea>
    <c:plotVisOnly val="0"/>
    <c:dispBlanksAs val="gap"/>
    <c:showDLblsOverMax val="0"/>
  </c:chart>
  <c:spPr>
    <a:solidFill>
      <a:schemeClr val="bg1">
        <a:alpha val="30000"/>
      </a:schemeClr>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482939632546E-2"/>
          <c:y val="0.11189507485344906"/>
          <c:w val="0.86979615048118986"/>
          <c:h val="0.67066333304751535"/>
        </c:manualLayout>
      </c:layout>
      <c:barChart>
        <c:barDir val="col"/>
        <c:grouping val="clustered"/>
        <c:varyColors val="0"/>
        <c:ser>
          <c:idx val="0"/>
          <c:order val="0"/>
          <c:spPr>
            <a:solidFill>
              <a:schemeClr val="accent1"/>
            </a:solidFill>
            <a:ln>
              <a:noFill/>
            </a:ln>
            <a:effectLst/>
          </c:spPr>
          <c:invertIfNegative val="0"/>
          <c:cat>
            <c:strRef>
              <c:f>入門編_計算シート!$X$7</c:f>
              <c:strCache>
                <c:ptCount val="1"/>
                <c:pt idx="0">
                  <c:v>CO2削減効果
（化石燃料代替分）</c:v>
                </c:pt>
              </c:strCache>
            </c:strRef>
          </c:cat>
          <c:val>
            <c:numRef>
              <c:f>入門編_計算シート!$Y$7</c:f>
              <c:numCache>
                <c:formatCode>#,##0_);[Red]\(#,##0\)</c:formatCode>
                <c:ptCount val="1"/>
                <c:pt idx="0">
                  <c:v>44421.445963125007</c:v>
                </c:pt>
              </c:numCache>
            </c:numRef>
          </c:val>
          <c:extLst>
            <c:ext xmlns:c16="http://schemas.microsoft.com/office/drawing/2014/chart" uri="{C3380CC4-5D6E-409C-BE32-E72D297353CC}">
              <c16:uniqueId val="{00000000-4C76-401D-87C1-02FE1D0BDB2E}"/>
            </c:ext>
          </c:extLst>
        </c:ser>
        <c:dLbls>
          <c:showLegendKey val="0"/>
          <c:showVal val="0"/>
          <c:showCatName val="0"/>
          <c:showSerName val="0"/>
          <c:showPercent val="0"/>
          <c:showBubbleSize val="0"/>
        </c:dLbls>
        <c:gapWidth val="219"/>
        <c:overlap val="-27"/>
        <c:axId val="458456488"/>
        <c:axId val="458457272"/>
      </c:barChart>
      <c:catAx>
        <c:axId val="45845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7272"/>
        <c:crosses val="autoZero"/>
        <c:auto val="1"/>
        <c:lblAlgn val="ctr"/>
        <c:lblOffset val="100"/>
        <c:noMultiLvlLbl val="0"/>
      </c:catAx>
      <c:valAx>
        <c:axId val="45845727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6488"/>
        <c:crosses val="autoZero"/>
        <c:crossBetween val="between"/>
      </c:valAx>
      <c:spPr>
        <a:noFill/>
        <a:ln>
          <a:noFill/>
        </a:ln>
        <a:effectLst/>
      </c:spPr>
    </c:plotArea>
    <c:plotVisOnly val="0"/>
    <c:dispBlanksAs val="gap"/>
    <c:showDLblsOverMax val="0"/>
  </c:chart>
  <c:spPr>
    <a:solidFill>
      <a:schemeClr val="bg1">
        <a:alpha val="30000"/>
      </a:schemeClr>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67882824741167"/>
          <c:y val="0.12202161901307675"/>
          <c:w val="0.84493020723573242"/>
          <c:h val="0.65958438866268954"/>
        </c:manualLayout>
      </c:layout>
      <c:barChart>
        <c:barDir val="col"/>
        <c:grouping val="stacked"/>
        <c:varyColors val="0"/>
        <c:ser>
          <c:idx val="0"/>
          <c:order val="0"/>
          <c:spPr>
            <a:solidFill>
              <a:schemeClr val="bg2">
                <a:lumMod val="50000"/>
              </a:schemeClr>
            </a:solidFill>
            <a:ln>
              <a:noFill/>
            </a:ln>
            <a:effectLst/>
          </c:spPr>
          <c:invertIfNegative val="0"/>
          <c:cat>
            <c:strRef>
              <c:f>入門編_計算シート!$X$4:$X$6</c:f>
              <c:strCache>
                <c:ptCount val="3"/>
                <c:pt idx="0">
                  <c:v>投資額</c:v>
                </c:pt>
                <c:pt idx="1">
                  <c:v>事業収入</c:v>
                </c:pt>
                <c:pt idx="2">
                  <c:v>地域経済効果
＋事業収入</c:v>
                </c:pt>
              </c:strCache>
            </c:strRef>
          </c:cat>
          <c:val>
            <c:numRef>
              <c:f>入門編_計算シート!$Y$4:$Y$6</c:f>
              <c:numCache>
                <c:formatCode>General</c:formatCode>
                <c:ptCount val="3"/>
                <c:pt idx="0" formatCode="#,##0_);[Red]\(#,##0\)">
                  <c:v>5535.7158473635991</c:v>
                </c:pt>
              </c:numCache>
            </c:numRef>
          </c:val>
          <c:extLst>
            <c:ext xmlns:c16="http://schemas.microsoft.com/office/drawing/2014/chart" uri="{C3380CC4-5D6E-409C-BE32-E72D297353CC}">
              <c16:uniqueId val="{00000000-DB05-428F-9737-59B179105AC4}"/>
            </c:ext>
          </c:extLst>
        </c:ser>
        <c:ser>
          <c:idx val="1"/>
          <c:order val="1"/>
          <c:spPr>
            <a:solidFill>
              <a:schemeClr val="accent1"/>
            </a:solidFill>
            <a:ln>
              <a:noFill/>
            </a:ln>
            <a:effectLst/>
          </c:spPr>
          <c:invertIfNegative val="0"/>
          <c:cat>
            <c:strRef>
              <c:f>入門編_計算シート!$X$4:$X$6</c:f>
              <c:strCache>
                <c:ptCount val="3"/>
                <c:pt idx="0">
                  <c:v>投資額</c:v>
                </c:pt>
                <c:pt idx="1">
                  <c:v>事業収入</c:v>
                </c:pt>
                <c:pt idx="2">
                  <c:v>地域経済効果
＋事業収入</c:v>
                </c:pt>
              </c:strCache>
            </c:strRef>
          </c:cat>
          <c:val>
            <c:numRef>
              <c:f>入門編_計算シート!$Z$4:$Z$6</c:f>
              <c:numCache>
                <c:formatCode>#,##0_);[Red]\(#,##0\)</c:formatCode>
                <c:ptCount val="3"/>
                <c:pt idx="1">
                  <c:v>5992.0132980468752</c:v>
                </c:pt>
                <c:pt idx="2">
                  <c:v>5992.0132980468752</c:v>
                </c:pt>
              </c:numCache>
            </c:numRef>
          </c:val>
          <c:extLst>
            <c:ext xmlns:c16="http://schemas.microsoft.com/office/drawing/2014/chart" uri="{C3380CC4-5D6E-409C-BE32-E72D297353CC}">
              <c16:uniqueId val="{00000001-DB05-428F-9737-59B179105AC4}"/>
            </c:ext>
          </c:extLst>
        </c:ser>
        <c:ser>
          <c:idx val="2"/>
          <c:order val="2"/>
          <c:spPr>
            <a:solidFill>
              <a:schemeClr val="accent2"/>
            </a:solidFill>
            <a:ln>
              <a:noFill/>
            </a:ln>
            <a:effectLst/>
          </c:spPr>
          <c:invertIfNegative val="0"/>
          <c:cat>
            <c:strRef>
              <c:f>入門編_計算シート!$X$4:$X$6</c:f>
              <c:strCache>
                <c:ptCount val="3"/>
                <c:pt idx="0">
                  <c:v>投資額</c:v>
                </c:pt>
                <c:pt idx="1">
                  <c:v>事業収入</c:v>
                </c:pt>
                <c:pt idx="2">
                  <c:v>地域経済効果
＋事業収入</c:v>
                </c:pt>
              </c:strCache>
            </c:strRef>
          </c:cat>
          <c:val>
            <c:numRef>
              <c:f>入門編_計算シート!$AA$4:$AA$6</c:f>
              <c:numCache>
                <c:formatCode>General</c:formatCode>
                <c:ptCount val="3"/>
                <c:pt idx="2" formatCode="#,##0_);[Red]\(#,##0\)">
                  <c:v>1434.8871419914879</c:v>
                </c:pt>
              </c:numCache>
            </c:numRef>
          </c:val>
          <c:extLst>
            <c:ext xmlns:c16="http://schemas.microsoft.com/office/drawing/2014/chart" uri="{C3380CC4-5D6E-409C-BE32-E72D297353CC}">
              <c16:uniqueId val="{00000002-DB05-428F-9737-59B179105AC4}"/>
            </c:ext>
          </c:extLst>
        </c:ser>
        <c:dLbls>
          <c:showLegendKey val="0"/>
          <c:showVal val="0"/>
          <c:showCatName val="0"/>
          <c:showSerName val="0"/>
          <c:showPercent val="0"/>
          <c:showBubbleSize val="0"/>
        </c:dLbls>
        <c:gapWidth val="150"/>
        <c:overlap val="100"/>
        <c:axId val="458454920"/>
        <c:axId val="458451392"/>
      </c:barChart>
      <c:catAx>
        <c:axId val="458454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1392"/>
        <c:crosses val="autoZero"/>
        <c:auto val="1"/>
        <c:lblAlgn val="ctr"/>
        <c:lblOffset val="100"/>
        <c:noMultiLvlLbl val="0"/>
      </c:catAx>
      <c:valAx>
        <c:axId val="45845139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4920"/>
        <c:crosses val="autoZero"/>
        <c:crossBetween val="between"/>
      </c:valAx>
      <c:spPr>
        <a:noFill/>
        <a:ln>
          <a:noFill/>
        </a:ln>
        <a:effectLst/>
      </c:spPr>
    </c:plotArea>
    <c:plotVisOnly val="0"/>
    <c:dispBlanksAs val="gap"/>
    <c:showDLblsOverMax val="0"/>
  </c:chart>
  <c:spPr>
    <a:solidFill>
      <a:schemeClr val="bg1">
        <a:alpha val="30000"/>
      </a:schemeClr>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62744697579549E-2"/>
          <c:y val="0.10931071401977077"/>
          <c:w val="0.95397751770038441"/>
          <c:h val="0.75418324066889997"/>
        </c:manualLayout>
      </c:layout>
      <c:barChart>
        <c:barDir val="col"/>
        <c:grouping val="stacked"/>
        <c:varyColors val="0"/>
        <c:ser>
          <c:idx val="0"/>
          <c:order val="0"/>
          <c:spPr>
            <a:solidFill>
              <a:schemeClr val="accent1"/>
            </a:solidFill>
            <a:ln>
              <a:noFill/>
            </a:ln>
            <a:effectLst/>
          </c:spPr>
          <c:invertIfNegative val="0"/>
          <c:cat>
            <c:strRef>
              <c:f>入門編_計算シート!$X$190:$X$197</c:f>
              <c:strCache>
                <c:ptCount val="8"/>
                <c:pt idx="0">
                  <c:v>①バイオマス事業者
（地域内配当）</c:v>
                </c:pt>
                <c:pt idx="1">
                  <c:v>②建設関連事業者</c:v>
                </c:pt>
                <c:pt idx="2">
                  <c:v>③運転維持事業者</c:v>
                </c:pt>
                <c:pt idx="3">
                  <c:v>④雇用効果</c:v>
                </c:pt>
                <c:pt idx="4">
                  <c:v>⑤地方税</c:v>
                </c:pt>
                <c:pt idx="5">
                  <c:v>⑥金融機関利息収入</c:v>
                </c:pt>
                <c:pt idx="6">
                  <c:v>⑦処理委託費用低減効果
(廃棄物委託元の経済効果）</c:v>
                </c:pt>
                <c:pt idx="7">
                  <c:v>⑧エネルギー費用
削減効果</c:v>
                </c:pt>
              </c:strCache>
            </c:strRef>
          </c:cat>
          <c:val>
            <c:numRef>
              <c:f>入門編_計算シート!$Y$190:$Y$197</c:f>
              <c:numCache>
                <c:formatCode>#,##0_);[Red]\(#,##0\)</c:formatCode>
                <c:ptCount val="8"/>
                <c:pt idx="0">
                  <c:v>228.14872534163726</c:v>
                </c:pt>
                <c:pt idx="1">
                  <c:v>21.583838496194108</c:v>
                </c:pt>
                <c:pt idx="2">
                  <c:v>67.754960074248487</c:v>
                </c:pt>
                <c:pt idx="3">
                  <c:v>667.22111191968622</c:v>
                </c:pt>
                <c:pt idx="4">
                  <c:v>423.93318103178149</c:v>
                </c:pt>
                <c:pt idx="5">
                  <c:v>26.245325127940401</c:v>
                </c:pt>
                <c:pt idx="6">
                  <c:v>0</c:v>
                </c:pt>
                <c:pt idx="7">
                  <c:v>0</c:v>
                </c:pt>
              </c:numCache>
            </c:numRef>
          </c:val>
          <c:extLst>
            <c:ext xmlns:c16="http://schemas.microsoft.com/office/drawing/2014/chart" uri="{C3380CC4-5D6E-409C-BE32-E72D297353CC}">
              <c16:uniqueId val="{00000000-D9EB-4798-B749-A3FF81603F05}"/>
            </c:ext>
          </c:extLst>
        </c:ser>
        <c:dLbls>
          <c:showLegendKey val="0"/>
          <c:showVal val="0"/>
          <c:showCatName val="0"/>
          <c:showSerName val="0"/>
          <c:showPercent val="0"/>
          <c:showBubbleSize val="0"/>
        </c:dLbls>
        <c:gapWidth val="150"/>
        <c:overlap val="100"/>
        <c:axId val="458453352"/>
        <c:axId val="458455704"/>
      </c:barChart>
      <c:catAx>
        <c:axId val="458453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8455704"/>
        <c:crosses val="autoZero"/>
        <c:auto val="1"/>
        <c:lblAlgn val="ctr"/>
        <c:lblOffset val="100"/>
        <c:noMultiLvlLbl val="0"/>
      </c:catAx>
      <c:valAx>
        <c:axId val="4584557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458453352"/>
        <c:crosses val="autoZero"/>
        <c:crossBetween val="between"/>
      </c:valAx>
      <c:spPr>
        <a:noFill/>
        <a:ln>
          <a:noFill/>
        </a:ln>
        <a:effectLst/>
      </c:spPr>
    </c:plotArea>
    <c:plotVisOnly val="0"/>
    <c:dispBlanksAs val="gap"/>
    <c:showDLblsOverMax val="0"/>
  </c:chart>
  <c:spPr>
    <a:solidFill>
      <a:schemeClr val="bg1">
        <a:alpha val="30000"/>
      </a:schemeClr>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205853480271929E-2"/>
          <c:y val="8.017779129284075E-2"/>
          <c:w val="0.67716657998373064"/>
          <c:h val="0.78057322679349506"/>
        </c:manualLayout>
      </c:layout>
      <c:barChart>
        <c:barDir val="col"/>
        <c:grouping val="stacked"/>
        <c:varyColors val="0"/>
        <c:ser>
          <c:idx val="7"/>
          <c:order val="0"/>
          <c:tx>
            <c:strRef>
              <c:f>地域経済性計算シート!$C$551</c:f>
              <c:strCache>
                <c:ptCount val="1"/>
                <c:pt idx="0">
                  <c:v>⑧エネルギー費用削減効果</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地域経済性計算シート!$D$542:$AH$542</c15:sqref>
                  </c15:fullRef>
                </c:ext>
              </c:extLst>
              <c:f>地域経済性計算シート!$D$542:$X$542</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地域経済性計算シート!$D$551:$AH$551</c15:sqref>
                  </c15:fullRef>
                </c:ext>
              </c:extLst>
              <c:f>地域経済性計算シート!$D$551:$X$551</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0-AD71-420A-926F-B836374D7410}"/>
            </c:ext>
          </c:extLst>
        </c:ser>
        <c:ser>
          <c:idx val="6"/>
          <c:order val="1"/>
          <c:tx>
            <c:strRef>
              <c:f>地域経済性計算シート!$C$550</c:f>
              <c:strCache>
                <c:ptCount val="1"/>
                <c:pt idx="0">
                  <c:v>⑦処理委託費用低減効果(廃棄物委託元の経済効果）</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地域経済性計算シート!$D$542:$AH$542</c15:sqref>
                  </c15:fullRef>
                </c:ext>
              </c:extLst>
              <c:f>地域経済性計算シート!$D$542:$X$542</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地域経済性計算シート!$D$550:$AH$550</c15:sqref>
                  </c15:fullRef>
                </c:ext>
              </c:extLst>
              <c:f>地域経済性計算シート!$D$550:$X$550</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1-AD71-420A-926F-B836374D7410}"/>
            </c:ext>
          </c:extLst>
        </c:ser>
        <c:ser>
          <c:idx val="5"/>
          <c:order val="3"/>
          <c:tx>
            <c:strRef>
              <c:f>地域経済性計算シート!$C$548</c:f>
              <c:strCache>
                <c:ptCount val="1"/>
                <c:pt idx="0">
                  <c:v>⑤地方税</c:v>
                </c:pt>
              </c:strCache>
            </c:strRef>
          </c:tx>
          <c:spPr>
            <a:solidFill>
              <a:schemeClr val="accent6"/>
            </a:solidFill>
            <a:ln>
              <a:noFill/>
            </a:ln>
            <a:effectLst/>
          </c:spPr>
          <c:invertIfNegative val="0"/>
          <c:cat>
            <c:strRef>
              <c:extLst>
                <c:ext xmlns:c15="http://schemas.microsoft.com/office/drawing/2012/chart" uri="{02D57815-91ED-43cb-92C2-25804820EDAC}">
                  <c15:fullRef>
                    <c15:sqref>地域経済性計算シート!$D$542:$AH$542</c15:sqref>
                  </c15:fullRef>
                </c:ext>
              </c:extLst>
              <c:f>地域経済性計算シート!$D$542:$X$542</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地域経済性計算シート!$D$548:$AH$548</c15:sqref>
                  </c15:fullRef>
                </c:ext>
              </c:extLst>
              <c:f>地域経済性計算シート!$D$548:$X$548</c:f>
              <c:numCache>
                <c:formatCode>#,##0_);[Red]\(#,##0\)</c:formatCode>
                <c:ptCount val="21"/>
                <c:pt idx="0">
                  <c:v>21.95821674765779</c:v>
                </c:pt>
                <c:pt idx="1">
                  <c:v>31.357070356801419</c:v>
                </c:pt>
                <c:pt idx="2">
                  <c:v>30.120958196566374</c:v>
                </c:pt>
                <c:pt idx="3">
                  <c:v>28.884846036331318</c:v>
                </c:pt>
                <c:pt idx="4">
                  <c:v>27.648733876096269</c:v>
                </c:pt>
                <c:pt idx="5">
                  <c:v>26.412621715861217</c:v>
                </c:pt>
                <c:pt idx="6">
                  <c:v>25.176509555626158</c:v>
                </c:pt>
                <c:pt idx="7">
                  <c:v>23.940397395391109</c:v>
                </c:pt>
                <c:pt idx="8">
                  <c:v>22.704285235156057</c:v>
                </c:pt>
                <c:pt idx="9">
                  <c:v>21.468173074921008</c:v>
                </c:pt>
                <c:pt idx="10">
                  <c:v>20.232060914685956</c:v>
                </c:pt>
                <c:pt idx="11">
                  <c:v>18.995948754450904</c:v>
                </c:pt>
                <c:pt idx="12">
                  <c:v>17.759836594215855</c:v>
                </c:pt>
                <c:pt idx="13">
                  <c:v>16.523724433980799</c:v>
                </c:pt>
                <c:pt idx="14">
                  <c:v>15.287612273745749</c:v>
                </c:pt>
                <c:pt idx="15">
                  <c:v>14.051500113510698</c:v>
                </c:pt>
                <c:pt idx="16">
                  <c:v>16.080971315215272</c:v>
                </c:pt>
                <c:pt idx="17">
                  <c:v>15.939441999603957</c:v>
                </c:pt>
                <c:pt idx="18">
                  <c:v>15.797912683992639</c:v>
                </c:pt>
                <c:pt idx="19">
                  <c:v>15.656383368381322</c:v>
                </c:pt>
                <c:pt idx="20">
                  <c:v>15.514854052770005</c:v>
                </c:pt>
              </c:numCache>
            </c:numRef>
          </c:val>
          <c:extLst xmlns:c15="http://schemas.microsoft.com/office/drawing/2012/chart">
            <c:ext xmlns:c16="http://schemas.microsoft.com/office/drawing/2014/chart" uri="{C3380CC4-5D6E-409C-BE32-E72D297353CC}">
              <c16:uniqueId val="{00000002-AD71-420A-926F-B836374D7410}"/>
            </c:ext>
          </c:extLst>
        </c:ser>
        <c:ser>
          <c:idx val="4"/>
          <c:order val="4"/>
          <c:tx>
            <c:strRef>
              <c:f>地域経済性計算シート!$C$547</c:f>
              <c:strCache>
                <c:ptCount val="1"/>
                <c:pt idx="0">
                  <c:v>④雇用効果</c:v>
                </c:pt>
              </c:strCache>
            </c:strRef>
          </c:tx>
          <c:spPr>
            <a:solidFill>
              <a:schemeClr val="accent5"/>
            </a:solidFill>
            <a:ln>
              <a:noFill/>
            </a:ln>
            <a:effectLst/>
          </c:spPr>
          <c:invertIfNegative val="0"/>
          <c:cat>
            <c:strRef>
              <c:extLst>
                <c:ext xmlns:c15="http://schemas.microsoft.com/office/drawing/2012/chart" uri="{02D57815-91ED-43cb-92C2-25804820EDAC}">
                  <c15:fullRef>
                    <c15:sqref>地域経済性計算シート!$D$542:$AH$542</c15:sqref>
                  </c15:fullRef>
                </c:ext>
              </c:extLst>
              <c:f>地域経済性計算シート!$D$542:$X$542</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地域経済性計算シート!$D$547:$AH$547</c15:sqref>
                  </c15:fullRef>
                </c:ext>
              </c:extLst>
              <c:f>地域経済性計算シート!$D$547:$X$547</c:f>
              <c:numCache>
                <c:formatCode>#,##0_);[Red]\(#,##0\)</c:formatCode>
                <c:ptCount val="21"/>
                <c:pt idx="0">
                  <c:v>54.676690528697137</c:v>
                </c:pt>
                <c:pt idx="1">
                  <c:v>30.62722106954946</c:v>
                </c:pt>
                <c:pt idx="2">
                  <c:v>30.62722106954946</c:v>
                </c:pt>
                <c:pt idx="3">
                  <c:v>30.62722106954946</c:v>
                </c:pt>
                <c:pt idx="4">
                  <c:v>30.62722106954946</c:v>
                </c:pt>
                <c:pt idx="5">
                  <c:v>30.62722106954946</c:v>
                </c:pt>
                <c:pt idx="6">
                  <c:v>30.62722106954946</c:v>
                </c:pt>
                <c:pt idx="7">
                  <c:v>30.62722106954946</c:v>
                </c:pt>
                <c:pt idx="8">
                  <c:v>30.62722106954946</c:v>
                </c:pt>
                <c:pt idx="9">
                  <c:v>30.62722106954946</c:v>
                </c:pt>
                <c:pt idx="10">
                  <c:v>30.62722106954946</c:v>
                </c:pt>
                <c:pt idx="11">
                  <c:v>30.62722106954946</c:v>
                </c:pt>
                <c:pt idx="12">
                  <c:v>30.62722106954946</c:v>
                </c:pt>
                <c:pt idx="13">
                  <c:v>30.62722106954946</c:v>
                </c:pt>
                <c:pt idx="14">
                  <c:v>30.62722106954946</c:v>
                </c:pt>
                <c:pt idx="15">
                  <c:v>30.62722106954946</c:v>
                </c:pt>
                <c:pt idx="16">
                  <c:v>30.62722106954946</c:v>
                </c:pt>
                <c:pt idx="17">
                  <c:v>30.62722106954946</c:v>
                </c:pt>
                <c:pt idx="18">
                  <c:v>30.62722106954946</c:v>
                </c:pt>
                <c:pt idx="19">
                  <c:v>30.62722106954946</c:v>
                </c:pt>
                <c:pt idx="20">
                  <c:v>30.62722106954946</c:v>
                </c:pt>
              </c:numCache>
            </c:numRef>
          </c:val>
          <c:extLst xmlns:c15="http://schemas.microsoft.com/office/drawing/2012/chart">
            <c:ext xmlns:c16="http://schemas.microsoft.com/office/drawing/2014/chart" uri="{C3380CC4-5D6E-409C-BE32-E72D297353CC}">
              <c16:uniqueId val="{00000003-AD71-420A-926F-B836374D7410}"/>
            </c:ext>
          </c:extLst>
        </c:ser>
        <c:ser>
          <c:idx val="3"/>
          <c:order val="5"/>
          <c:tx>
            <c:strRef>
              <c:f>地域経済性計算シート!$C$546</c:f>
              <c:strCache>
                <c:ptCount val="1"/>
                <c:pt idx="0">
                  <c:v>③運転維持事業者</c:v>
                </c:pt>
              </c:strCache>
            </c:strRef>
          </c:tx>
          <c:spPr>
            <a:solidFill>
              <a:schemeClr val="accent4"/>
            </a:solidFill>
            <a:ln>
              <a:noFill/>
            </a:ln>
            <a:effectLst/>
          </c:spPr>
          <c:invertIfNegative val="0"/>
          <c:cat>
            <c:strRef>
              <c:extLst>
                <c:ext xmlns:c15="http://schemas.microsoft.com/office/drawing/2012/chart" uri="{02D57815-91ED-43cb-92C2-25804820EDAC}">
                  <c15:fullRef>
                    <c15:sqref>地域経済性計算シート!$D$542:$AH$542</c15:sqref>
                  </c15:fullRef>
                </c:ext>
              </c:extLst>
              <c:f>地域経済性計算シート!$D$542:$X$542</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地域経済性計算シート!$D$546:$AH$546</c15:sqref>
                  </c15:fullRef>
                </c:ext>
              </c:extLst>
              <c:f>地域経済性計算シート!$D$546:$X$546</c:f>
              <c:numCache>
                <c:formatCode>#,##0_);[Red]\(#,##0\)</c:formatCode>
                <c:ptCount val="21"/>
                <c:pt idx="0">
                  <c:v>0</c:v>
                </c:pt>
                <c:pt idx="1">
                  <c:v>3.3877480037124261</c:v>
                </c:pt>
                <c:pt idx="2">
                  <c:v>3.3877480037124261</c:v>
                </c:pt>
                <c:pt idx="3">
                  <c:v>3.3877480037124261</c:v>
                </c:pt>
                <c:pt idx="4">
                  <c:v>3.3877480037124261</c:v>
                </c:pt>
                <c:pt idx="5">
                  <c:v>3.3877480037124261</c:v>
                </c:pt>
                <c:pt idx="6">
                  <c:v>3.3877480037124261</c:v>
                </c:pt>
                <c:pt idx="7">
                  <c:v>3.3877480037124261</c:v>
                </c:pt>
                <c:pt idx="8">
                  <c:v>3.3877480037124261</c:v>
                </c:pt>
                <c:pt idx="9">
                  <c:v>3.3877480037124261</c:v>
                </c:pt>
                <c:pt idx="10">
                  <c:v>3.3877480037124261</c:v>
                </c:pt>
                <c:pt idx="11">
                  <c:v>3.3877480037124261</c:v>
                </c:pt>
                <c:pt idx="12">
                  <c:v>3.3877480037124261</c:v>
                </c:pt>
                <c:pt idx="13">
                  <c:v>3.3877480037124261</c:v>
                </c:pt>
                <c:pt idx="14">
                  <c:v>3.3877480037124261</c:v>
                </c:pt>
                <c:pt idx="15">
                  <c:v>3.3877480037124261</c:v>
                </c:pt>
                <c:pt idx="16">
                  <c:v>3.3877480037124261</c:v>
                </c:pt>
                <c:pt idx="17">
                  <c:v>3.3877480037124261</c:v>
                </c:pt>
                <c:pt idx="18">
                  <c:v>3.3877480037124261</c:v>
                </c:pt>
                <c:pt idx="19">
                  <c:v>3.3877480037124261</c:v>
                </c:pt>
                <c:pt idx="20">
                  <c:v>3.3877480037124261</c:v>
                </c:pt>
              </c:numCache>
            </c:numRef>
          </c:val>
          <c:extLst xmlns:c15="http://schemas.microsoft.com/office/drawing/2012/chart">
            <c:ext xmlns:c16="http://schemas.microsoft.com/office/drawing/2014/chart" uri="{C3380CC4-5D6E-409C-BE32-E72D297353CC}">
              <c16:uniqueId val="{00000004-AD71-420A-926F-B836374D7410}"/>
            </c:ext>
          </c:extLst>
        </c:ser>
        <c:ser>
          <c:idx val="2"/>
          <c:order val="6"/>
          <c:tx>
            <c:strRef>
              <c:f>地域経済性計算シート!$C$545</c:f>
              <c:strCache>
                <c:ptCount val="1"/>
                <c:pt idx="0">
                  <c:v>②建設関連事業者</c:v>
                </c:pt>
              </c:strCache>
            </c:strRef>
          </c:tx>
          <c:spPr>
            <a:solidFill>
              <a:schemeClr val="accent3"/>
            </a:solidFill>
            <a:ln>
              <a:noFill/>
            </a:ln>
            <a:effectLst/>
          </c:spPr>
          <c:invertIfNegative val="0"/>
          <c:cat>
            <c:strRef>
              <c:extLst>
                <c:ext xmlns:c15="http://schemas.microsoft.com/office/drawing/2012/chart" uri="{02D57815-91ED-43cb-92C2-25804820EDAC}">
                  <c15:fullRef>
                    <c15:sqref>地域経済性計算シート!$D$542:$AH$542</c15:sqref>
                  </c15:fullRef>
                </c:ext>
              </c:extLst>
              <c:f>地域経済性計算シート!$D$542:$X$542</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地域経済性計算シート!$D$545:$AH$545</c15:sqref>
                  </c15:fullRef>
                </c:ext>
              </c:extLst>
              <c:f>地域経済性計算シート!$D$545:$X$545</c:f>
              <c:numCache>
                <c:formatCode>#,##0_);[Red]\(#,##0\)</c:formatCode>
                <c:ptCount val="21"/>
                <c:pt idx="0">
                  <c:v>21.583838496194108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AD71-420A-926F-B836374D7410}"/>
            </c:ext>
          </c:extLst>
        </c:ser>
        <c:ser>
          <c:idx val="1"/>
          <c:order val="7"/>
          <c:tx>
            <c:strRef>
              <c:f>地域経済性計算シート!$C$543</c:f>
              <c:strCache>
                <c:ptCount val="1"/>
                <c:pt idx="0">
                  <c:v>バイオマス事業における
キャッシュフロー</c:v>
                </c:pt>
              </c:strCache>
            </c:strRef>
          </c:tx>
          <c:spPr>
            <a:solidFill>
              <a:schemeClr val="accent2"/>
            </a:solidFill>
            <a:ln>
              <a:noFill/>
            </a:ln>
            <a:effectLst/>
          </c:spPr>
          <c:invertIfNegative val="0"/>
          <c:cat>
            <c:strRef>
              <c:extLst>
                <c:ext xmlns:c15="http://schemas.microsoft.com/office/drawing/2012/chart" uri="{02D57815-91ED-43cb-92C2-25804820EDAC}">
                  <c15:fullRef>
                    <c15:sqref>地域経済性計算シート!$D$542:$AH$542</c15:sqref>
                  </c15:fullRef>
                </c:ext>
              </c:extLst>
              <c:f>地域経済性計算シート!$D$542:$X$542</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地域経済性計算シート!$D$543:$AH$543</c15:sqref>
                  </c15:fullRef>
                </c:ext>
              </c:extLst>
              <c:f>地域経済性計算シート!$D$543:$X$543</c:f>
              <c:numCache>
                <c:formatCode>#,##0_);[Red]\(#,##0\)</c:formatCode>
                <c:ptCount val="21"/>
                <c:pt idx="0">
                  <c:v>-1563.6897780339068</c:v>
                </c:pt>
                <c:pt idx="1">
                  <c:v>92.318723946092945</c:v>
                </c:pt>
                <c:pt idx="2">
                  <c:v>93.90733084921979</c:v>
                </c:pt>
                <c:pt idx="3">
                  <c:v>95.495937752346649</c:v>
                </c:pt>
                <c:pt idx="4">
                  <c:v>97.084544655473508</c:v>
                </c:pt>
                <c:pt idx="5">
                  <c:v>98.673151558600367</c:v>
                </c:pt>
                <c:pt idx="6">
                  <c:v>100.26175846172723</c:v>
                </c:pt>
                <c:pt idx="7">
                  <c:v>101.85036536485408</c:v>
                </c:pt>
                <c:pt idx="8">
                  <c:v>103.43897226798094</c:v>
                </c:pt>
                <c:pt idx="9">
                  <c:v>105.02757917110779</c:v>
                </c:pt>
                <c:pt idx="10">
                  <c:v>106.61618607423466</c:v>
                </c:pt>
                <c:pt idx="11">
                  <c:v>108.20479297736151</c:v>
                </c:pt>
                <c:pt idx="12">
                  <c:v>109.79339988048838</c:v>
                </c:pt>
                <c:pt idx="13">
                  <c:v>111.38200678361522</c:v>
                </c:pt>
                <c:pt idx="14">
                  <c:v>112.97061368674208</c:v>
                </c:pt>
                <c:pt idx="15">
                  <c:v>114.55922058986894</c:v>
                </c:pt>
                <c:pt idx="16">
                  <c:v>92.692480822487198</c:v>
                </c:pt>
                <c:pt idx="17">
                  <c:v>93.186504880990327</c:v>
                </c:pt>
                <c:pt idx="18">
                  <c:v>93.680528939493456</c:v>
                </c:pt>
                <c:pt idx="19">
                  <c:v>94.174552997996571</c:v>
                </c:pt>
                <c:pt idx="20">
                  <c:v>94.668577056499686</c:v>
                </c:pt>
              </c:numCache>
            </c:numRef>
          </c:val>
          <c:extLst>
            <c:ext xmlns:c16="http://schemas.microsoft.com/office/drawing/2014/chart" uri="{C3380CC4-5D6E-409C-BE32-E72D297353CC}">
              <c16:uniqueId val="{00000006-AD71-420A-926F-B836374D7410}"/>
            </c:ext>
          </c:extLst>
        </c:ser>
        <c:dLbls>
          <c:showLegendKey val="0"/>
          <c:showVal val="0"/>
          <c:showCatName val="0"/>
          <c:showSerName val="0"/>
          <c:showPercent val="0"/>
          <c:showBubbleSize val="0"/>
        </c:dLbls>
        <c:gapWidth val="219"/>
        <c:overlap val="100"/>
        <c:axId val="458449824"/>
        <c:axId val="458456096"/>
      </c:barChart>
      <c:lineChart>
        <c:grouping val="standard"/>
        <c:varyColors val="0"/>
        <c:ser>
          <c:idx val="9"/>
          <c:order val="2"/>
          <c:tx>
            <c:strRef>
              <c:f>地域経済性計算シート!$C$549</c:f>
              <c:strCache>
                <c:ptCount val="1"/>
                <c:pt idx="0">
                  <c:v>⑥地域内金融機関利息収入</c:v>
                </c:pt>
              </c:strCache>
            </c:strRef>
          </c:tx>
          <c:spPr>
            <a:ln w="28575" cap="rnd">
              <a:solidFill>
                <a:schemeClr val="accent4">
                  <a:lumMod val="60000"/>
                </a:schemeClr>
              </a:solidFill>
              <a:round/>
            </a:ln>
            <a:effectLst/>
          </c:spPr>
          <c:marker>
            <c:symbol val="none"/>
          </c:marker>
          <c:cat>
            <c:strLit>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地域経済性計算シート!$D$549:$AH$549</c15:sqref>
                  </c15:fullRef>
                </c:ext>
              </c:extLst>
              <c:f>地域経済性計算シート!$D$549:$X$549</c:f>
              <c:numCache>
                <c:formatCode>#,##0_);[Red]\(#,##0\)</c:formatCode>
                <c:ptCount val="21"/>
                <c:pt idx="0">
                  <c:v>0</c:v>
                </c:pt>
                <c:pt idx="1">
                  <c:v>2.4995547740895621</c:v>
                </c:pt>
                <c:pt idx="2">
                  <c:v>2.3745770353850837</c:v>
                </c:pt>
                <c:pt idx="3">
                  <c:v>2.2495992966806058</c:v>
                </c:pt>
                <c:pt idx="4">
                  <c:v>2.1246215579761274</c:v>
                </c:pt>
                <c:pt idx="5">
                  <c:v>1.9996438192716497</c:v>
                </c:pt>
                <c:pt idx="6">
                  <c:v>1.8746660805671713</c:v>
                </c:pt>
                <c:pt idx="7">
                  <c:v>1.7496883418626934</c:v>
                </c:pt>
                <c:pt idx="8">
                  <c:v>1.6247106031582155</c:v>
                </c:pt>
                <c:pt idx="9">
                  <c:v>1.4997328644537371</c:v>
                </c:pt>
                <c:pt idx="10">
                  <c:v>1.3747551257492592</c:v>
                </c:pt>
                <c:pt idx="11">
                  <c:v>1.249777387044781</c:v>
                </c:pt>
                <c:pt idx="12">
                  <c:v>1.1247996483403029</c:v>
                </c:pt>
                <c:pt idx="13">
                  <c:v>0.99982190963582485</c:v>
                </c:pt>
                <c:pt idx="14">
                  <c:v>0.8748441709313467</c:v>
                </c:pt>
                <c:pt idx="15">
                  <c:v>0.74986643222686855</c:v>
                </c:pt>
                <c:pt idx="16">
                  <c:v>0.62488869352239051</c:v>
                </c:pt>
                <c:pt idx="17">
                  <c:v>0.49991095481791242</c:v>
                </c:pt>
                <c:pt idx="18">
                  <c:v>0.37493321611343428</c:v>
                </c:pt>
                <c:pt idx="19">
                  <c:v>0.24995547740895621</c:v>
                </c:pt>
                <c:pt idx="20">
                  <c:v>0.12497773870447811</c:v>
                </c:pt>
              </c:numCache>
            </c:numRef>
          </c:val>
          <c:smooth val="0"/>
          <c:extLst>
            <c:ext xmlns:c16="http://schemas.microsoft.com/office/drawing/2014/chart" uri="{C3380CC4-5D6E-409C-BE32-E72D297353CC}">
              <c16:uniqueId val="{00000007-AD71-420A-926F-B836374D7410}"/>
            </c:ext>
          </c:extLst>
        </c:ser>
        <c:ser>
          <c:idx val="8"/>
          <c:order val="8"/>
          <c:tx>
            <c:strRef>
              <c:f>地域経済性計算シート!$C$552</c:f>
              <c:strCache>
                <c:ptCount val="1"/>
                <c:pt idx="0">
                  <c:v>地域経済効果を踏まえた
キャッシュフロー</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地域経済性計算シート!$D$542:$AH$542</c15:sqref>
                  </c15:fullRef>
                </c:ext>
              </c:extLst>
              <c:f>地域経済性計算シート!$D$542:$X$542</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地域経済性計算シート!$D$552:$AH$552</c15:sqref>
                  </c15:fullRef>
                </c:ext>
              </c:extLst>
              <c:f>地域経済性計算シート!$D$552:$X$552</c:f>
              <c:numCache>
                <c:formatCode>#,##0_);[Red]\(#,##0\)</c:formatCode>
                <c:ptCount val="21"/>
                <c:pt idx="0">
                  <c:v>-1465.4710322613575</c:v>
                </c:pt>
                <c:pt idx="1">
                  <c:v>160.19031815024584</c:v>
                </c:pt>
                <c:pt idx="2">
                  <c:v>160.41783515443313</c:v>
                </c:pt>
                <c:pt idx="3">
                  <c:v>160.64535215862045</c:v>
                </c:pt>
                <c:pt idx="4">
                  <c:v>160.87286916280777</c:v>
                </c:pt>
                <c:pt idx="5">
                  <c:v>161.10038616699512</c:v>
                </c:pt>
                <c:pt idx="6">
                  <c:v>161.32790317118244</c:v>
                </c:pt>
                <c:pt idx="7">
                  <c:v>161.55542017536976</c:v>
                </c:pt>
                <c:pt idx="8">
                  <c:v>161.78293717955708</c:v>
                </c:pt>
                <c:pt idx="9">
                  <c:v>162.0104541837444</c:v>
                </c:pt>
                <c:pt idx="10">
                  <c:v>162.23797118793175</c:v>
                </c:pt>
                <c:pt idx="11">
                  <c:v>162.46548819211907</c:v>
                </c:pt>
                <c:pt idx="12">
                  <c:v>162.69300519630642</c:v>
                </c:pt>
                <c:pt idx="13">
                  <c:v>162.92052220049371</c:v>
                </c:pt>
                <c:pt idx="14">
                  <c:v>163.14803920468106</c:v>
                </c:pt>
                <c:pt idx="15">
                  <c:v>163.3755562088684</c:v>
                </c:pt>
                <c:pt idx="16">
                  <c:v>143.41330990448677</c:v>
                </c:pt>
                <c:pt idx="17">
                  <c:v>143.64082690867409</c:v>
                </c:pt>
                <c:pt idx="18">
                  <c:v>143.86834391286143</c:v>
                </c:pt>
                <c:pt idx="19">
                  <c:v>144.09586091704873</c:v>
                </c:pt>
                <c:pt idx="20">
                  <c:v>144.32337792123604</c:v>
                </c:pt>
              </c:numCache>
            </c:numRef>
          </c:val>
          <c:smooth val="0"/>
          <c:extLst>
            <c:ext xmlns:c16="http://schemas.microsoft.com/office/drawing/2014/chart" uri="{C3380CC4-5D6E-409C-BE32-E72D297353CC}">
              <c16:uniqueId val="{00000008-AD71-420A-926F-B836374D7410}"/>
            </c:ext>
          </c:extLst>
        </c:ser>
        <c:ser>
          <c:idx val="0"/>
          <c:order val="9"/>
          <c:tx>
            <c:strRef>
              <c:f>地域経済性計算シート!$C$553</c:f>
              <c:strCache>
                <c:ptCount val="1"/>
                <c:pt idx="0">
                  <c:v>初期投資支出－地域内経済効果
を踏まえた累積収支</c:v>
                </c:pt>
              </c:strCache>
            </c:strRef>
          </c:tx>
          <c:spPr>
            <a:ln w="28575" cap="rnd">
              <a:solidFill>
                <a:schemeClr val="accent2"/>
              </a:solidFill>
              <a:round/>
            </a:ln>
            <a:effectLst/>
          </c:spPr>
          <c:marker>
            <c:symbol val="none"/>
          </c:marker>
          <c:cat>
            <c:strLit>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地域経済性計算シート!$D$553:$AH$553</c15:sqref>
                  </c15:fullRef>
                </c:ext>
              </c:extLst>
              <c:f>地域経済性計算シート!$D$553:$X$553</c:f>
              <c:numCache>
                <c:formatCode>#,##0_);[Red]\(#,##0\)</c:formatCode>
                <c:ptCount val="21"/>
                <c:pt idx="0">
                  <c:v>-1465.4710322613575</c:v>
                </c:pt>
                <c:pt idx="1">
                  <c:v>-1305.2807141111116</c:v>
                </c:pt>
                <c:pt idx="2">
                  <c:v>-1144.8628789566785</c:v>
                </c:pt>
                <c:pt idx="3">
                  <c:v>-984.21752679805809</c:v>
                </c:pt>
                <c:pt idx="4">
                  <c:v>-823.34465763525031</c:v>
                </c:pt>
                <c:pt idx="5">
                  <c:v>-662.24427146825519</c:v>
                </c:pt>
                <c:pt idx="6">
                  <c:v>-500.91636829707272</c:v>
                </c:pt>
                <c:pt idx="7">
                  <c:v>-339.36094812170296</c:v>
                </c:pt>
                <c:pt idx="8">
                  <c:v>-177.57801094214588</c:v>
                </c:pt>
                <c:pt idx="9">
                  <c:v>-15.56755675840148</c:v>
                </c:pt>
                <c:pt idx="10">
                  <c:v>146.67041442953027</c:v>
                </c:pt>
                <c:pt idx="11">
                  <c:v>309.13590262164934</c:v>
                </c:pt>
                <c:pt idx="12">
                  <c:v>471.82890781795572</c:v>
                </c:pt>
                <c:pt idx="13">
                  <c:v>634.7494300184494</c:v>
                </c:pt>
                <c:pt idx="14">
                  <c:v>797.89746922313043</c:v>
                </c:pt>
                <c:pt idx="15">
                  <c:v>961.2730254319988</c:v>
                </c:pt>
                <c:pt idx="16">
                  <c:v>1104.6863353364856</c:v>
                </c:pt>
                <c:pt idx="17">
                  <c:v>1248.3271622451598</c:v>
                </c:pt>
                <c:pt idx="18">
                  <c:v>1392.1955061580213</c:v>
                </c:pt>
                <c:pt idx="19">
                  <c:v>1536.29136707507</c:v>
                </c:pt>
                <c:pt idx="20">
                  <c:v>1680.6147449963059</c:v>
                </c:pt>
              </c:numCache>
            </c:numRef>
          </c:val>
          <c:smooth val="0"/>
          <c:extLst>
            <c:ext xmlns:c16="http://schemas.microsoft.com/office/drawing/2014/chart" uri="{C3380CC4-5D6E-409C-BE32-E72D297353CC}">
              <c16:uniqueId val="{00000009-AD71-420A-926F-B836374D7410}"/>
            </c:ext>
          </c:extLst>
        </c:ser>
        <c:dLbls>
          <c:showLegendKey val="0"/>
          <c:showVal val="0"/>
          <c:showCatName val="0"/>
          <c:showSerName val="0"/>
          <c:showPercent val="0"/>
          <c:showBubbleSize val="0"/>
        </c:dLbls>
        <c:marker val="1"/>
        <c:smooth val="0"/>
        <c:axId val="458449824"/>
        <c:axId val="458456096"/>
      </c:lineChart>
      <c:catAx>
        <c:axId val="458449824"/>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6096"/>
        <c:crosses val="autoZero"/>
        <c:auto val="1"/>
        <c:lblAlgn val="ctr"/>
        <c:lblOffset val="100"/>
        <c:noMultiLvlLbl val="0"/>
      </c:catAx>
      <c:valAx>
        <c:axId val="45845609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49824"/>
        <c:crosses val="autoZero"/>
        <c:crossBetween val="between"/>
      </c:valAx>
      <c:spPr>
        <a:noFill/>
        <a:ln>
          <a:noFill/>
        </a:ln>
        <a:effectLst/>
      </c:spPr>
    </c:plotArea>
    <c:legend>
      <c:legendPos val="r"/>
      <c:layout>
        <c:manualLayout>
          <c:xMode val="edge"/>
          <c:yMode val="edge"/>
          <c:x val="0.78412242157963763"/>
          <c:y val="3.7843721798930557E-2"/>
          <c:w val="0.20703941241391766"/>
          <c:h val="0.9621562782010694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48084848533921E-2"/>
          <c:y val="2.9741239037630526E-2"/>
          <c:w val="0.67716657998373064"/>
          <c:h val="0.84694815882487151"/>
        </c:manualLayout>
      </c:layout>
      <c:barChart>
        <c:barDir val="col"/>
        <c:grouping val="stacked"/>
        <c:varyColors val="0"/>
        <c:ser>
          <c:idx val="1"/>
          <c:order val="0"/>
          <c:tx>
            <c:strRef>
              <c:f>地域経済性計算シート!$C$565</c:f>
              <c:strCache>
                <c:ptCount val="1"/>
                <c:pt idx="0">
                  <c:v>⑧需要家のエネルギー
費用削減効果</c:v>
                </c:pt>
              </c:strCache>
            </c:strRef>
          </c:tx>
          <c:spPr>
            <a:solidFill>
              <a:schemeClr val="accent2"/>
            </a:solidFill>
            <a:ln>
              <a:noFill/>
            </a:ln>
            <a:effectLst/>
          </c:spPr>
          <c:invertIfNegative val="0"/>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地域経済性計算シート!$D$565:$AH$565</c15:sqref>
                  </c15:fullRef>
                </c:ext>
              </c:extLst>
              <c:f>地域経済性計算シート!$D$565:$X$565</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628E-47BF-BA75-611E3864FA81}"/>
            </c:ext>
          </c:extLst>
        </c:ser>
        <c:ser>
          <c:idx val="2"/>
          <c:order val="1"/>
          <c:tx>
            <c:strRef>
              <c:f>地域経済性計算シート!$C$564</c:f>
              <c:strCache>
                <c:ptCount val="1"/>
                <c:pt idx="0">
                  <c:v>⑦バイオマス処理委託費用低減効果
(廃棄物委託元の経済効果）</c:v>
                </c:pt>
              </c:strCache>
            </c:strRef>
          </c:tx>
          <c:spPr>
            <a:solidFill>
              <a:schemeClr val="accent3"/>
            </a:solidFill>
            <a:ln>
              <a:noFill/>
            </a:ln>
            <a:effectLst/>
          </c:spPr>
          <c:invertIfNegative val="0"/>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地域経済性計算シート!$D$564:$AH$564</c15:sqref>
                  </c15:fullRef>
                </c:ext>
              </c:extLst>
              <c:f>地域経済性計算シート!$D$564:$X$564</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628E-47BF-BA75-611E3864FA81}"/>
            </c:ext>
          </c:extLst>
        </c:ser>
        <c:ser>
          <c:idx val="3"/>
          <c:order val="2"/>
          <c:tx>
            <c:strRef>
              <c:f>地域経済性計算シート!$C$563</c:f>
              <c:strCache>
                <c:ptCount val="1"/>
                <c:pt idx="0">
                  <c:v>⑥地域内金融機関
利息収入</c:v>
                </c:pt>
              </c:strCache>
            </c:strRef>
          </c:tx>
          <c:spPr>
            <a:solidFill>
              <a:schemeClr val="accent4"/>
            </a:solidFill>
            <a:ln>
              <a:noFill/>
            </a:ln>
            <a:effectLst/>
          </c:spPr>
          <c:invertIfNegative val="0"/>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地域経済性計算シート!$D$563:$AH$563</c15:sqref>
                  </c15:fullRef>
                </c:ext>
              </c:extLst>
              <c:f>地域経済性計算シート!$D$563:$X$563</c:f>
              <c:numCache>
                <c:formatCode>#,##0_);[Red]\(#,##0\)</c:formatCode>
                <c:ptCount val="21"/>
                <c:pt idx="0">
                  <c:v>0</c:v>
                </c:pt>
                <c:pt idx="1">
                  <c:v>2.4995547740895621</c:v>
                </c:pt>
                <c:pt idx="2">
                  <c:v>4.8741318094746457</c:v>
                </c:pt>
                <c:pt idx="3">
                  <c:v>7.1237311061552511</c:v>
                </c:pt>
                <c:pt idx="4">
                  <c:v>9.248352664131378</c:v>
                </c:pt>
                <c:pt idx="5">
                  <c:v>11.247996483403028</c:v>
                </c:pt>
                <c:pt idx="6">
                  <c:v>13.1226625639702</c:v>
                </c:pt>
                <c:pt idx="7">
                  <c:v>14.872350905832894</c:v>
                </c:pt>
                <c:pt idx="8">
                  <c:v>16.497061508991109</c:v>
                </c:pt>
                <c:pt idx="9">
                  <c:v>17.996794373444846</c:v>
                </c:pt>
                <c:pt idx="10">
                  <c:v>19.371549499194106</c:v>
                </c:pt>
                <c:pt idx="11">
                  <c:v>20.621326886238887</c:v>
                </c:pt>
                <c:pt idx="12">
                  <c:v>21.74612653457919</c:v>
                </c:pt>
                <c:pt idx="13">
                  <c:v>22.745948444215013</c:v>
                </c:pt>
                <c:pt idx="14">
                  <c:v>23.62079261514636</c:v>
                </c:pt>
                <c:pt idx="15">
                  <c:v>24.370659047373231</c:v>
                </c:pt>
                <c:pt idx="16">
                  <c:v>24.995547740895621</c:v>
                </c:pt>
                <c:pt idx="17">
                  <c:v>25.495458695713534</c:v>
                </c:pt>
                <c:pt idx="18">
                  <c:v>25.870391911826967</c:v>
                </c:pt>
                <c:pt idx="19">
                  <c:v>26.120347389235924</c:v>
                </c:pt>
                <c:pt idx="20">
                  <c:v>26.245325127940401</c:v>
                </c:pt>
              </c:numCache>
            </c:numRef>
          </c:val>
          <c:extLst xmlns:c15="http://schemas.microsoft.com/office/drawing/2012/chart">
            <c:ext xmlns:c16="http://schemas.microsoft.com/office/drawing/2014/chart" uri="{C3380CC4-5D6E-409C-BE32-E72D297353CC}">
              <c16:uniqueId val="{00000004-628E-47BF-BA75-611E3864FA81}"/>
            </c:ext>
          </c:extLst>
        </c:ser>
        <c:ser>
          <c:idx val="4"/>
          <c:order val="3"/>
          <c:tx>
            <c:strRef>
              <c:f>地域経済性計算シート!$C$562</c:f>
              <c:strCache>
                <c:ptCount val="1"/>
                <c:pt idx="0">
                  <c:v>⑤自治体地方税</c:v>
                </c:pt>
              </c:strCache>
            </c:strRef>
          </c:tx>
          <c:spPr>
            <a:solidFill>
              <a:schemeClr val="accent5"/>
            </a:solidFill>
            <a:ln>
              <a:noFill/>
            </a:ln>
            <a:effectLst/>
          </c:spPr>
          <c:invertIfNegative val="0"/>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地域経済性計算シート!$D$562:$AH$562</c15:sqref>
                  </c15:fullRef>
                </c:ext>
              </c:extLst>
              <c:f>地域経済性計算シート!$D$562:$X$562</c:f>
              <c:numCache>
                <c:formatCode>#,##0_);[Red]\(#,##0\)</c:formatCode>
                <c:ptCount val="21"/>
                <c:pt idx="0">
                  <c:v>21.95821674765779</c:v>
                </c:pt>
                <c:pt idx="1">
                  <c:v>53.315287104459209</c:v>
                </c:pt>
                <c:pt idx="2">
                  <c:v>83.436245301025579</c:v>
                </c:pt>
                <c:pt idx="3">
                  <c:v>112.3210913373569</c:v>
                </c:pt>
                <c:pt idx="4">
                  <c:v>139.96982521345316</c:v>
                </c:pt>
                <c:pt idx="5">
                  <c:v>166.38244692931437</c:v>
                </c:pt>
                <c:pt idx="6">
                  <c:v>191.55895648494052</c:v>
                </c:pt>
                <c:pt idx="7">
                  <c:v>215.49935388033163</c:v>
                </c:pt>
                <c:pt idx="8">
                  <c:v>238.20363911548768</c:v>
                </c:pt>
                <c:pt idx="9">
                  <c:v>259.67181219040867</c:v>
                </c:pt>
                <c:pt idx="10">
                  <c:v>279.90387310509465</c:v>
                </c:pt>
                <c:pt idx="11">
                  <c:v>298.89982185954557</c:v>
                </c:pt>
                <c:pt idx="12">
                  <c:v>316.65965845376144</c:v>
                </c:pt>
                <c:pt idx="13">
                  <c:v>333.18338288774225</c:v>
                </c:pt>
                <c:pt idx="14">
                  <c:v>348.47099516148802</c:v>
                </c:pt>
                <c:pt idx="15">
                  <c:v>362.52249527499873</c:v>
                </c:pt>
                <c:pt idx="16">
                  <c:v>378.603466590214</c:v>
                </c:pt>
                <c:pt idx="17">
                  <c:v>394.54290858981796</c:v>
                </c:pt>
                <c:pt idx="18">
                  <c:v>410.3408212738106</c:v>
                </c:pt>
                <c:pt idx="19">
                  <c:v>425.99720464219195</c:v>
                </c:pt>
                <c:pt idx="20">
                  <c:v>441.51205869496198</c:v>
                </c:pt>
              </c:numCache>
            </c:numRef>
          </c:val>
          <c:extLst xmlns:c15="http://schemas.microsoft.com/office/drawing/2012/chart">
            <c:ext xmlns:c16="http://schemas.microsoft.com/office/drawing/2014/chart" uri="{C3380CC4-5D6E-409C-BE32-E72D297353CC}">
              <c16:uniqueId val="{00000003-628E-47BF-BA75-611E3864FA81}"/>
            </c:ext>
          </c:extLst>
        </c:ser>
        <c:ser>
          <c:idx val="5"/>
          <c:order val="4"/>
          <c:tx>
            <c:strRef>
              <c:f>地域経済性計算シート!$C$561</c:f>
              <c:strCache>
                <c:ptCount val="1"/>
                <c:pt idx="0">
                  <c:v>④雇用効果
（従業員可処分所得）</c:v>
                </c:pt>
              </c:strCache>
            </c:strRef>
          </c:tx>
          <c:spPr>
            <a:solidFill>
              <a:schemeClr val="accent6"/>
            </a:solidFill>
            <a:ln>
              <a:noFill/>
            </a:ln>
            <a:effectLst/>
          </c:spPr>
          <c:invertIfNegative val="0"/>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地域経済性計算シート!$D$561:$AH$561</c15:sqref>
                  </c15:fullRef>
                </c:ext>
              </c:extLst>
              <c:f>地域経済性計算シート!$D$561:$X$561</c:f>
              <c:numCache>
                <c:formatCode>#,##0_);[Red]\(#,##0\)</c:formatCode>
                <c:ptCount val="21"/>
                <c:pt idx="0">
                  <c:v>54.676690528697137</c:v>
                </c:pt>
                <c:pt idx="1">
                  <c:v>85.3039115982466</c:v>
                </c:pt>
                <c:pt idx="2">
                  <c:v>115.93113266779606</c:v>
                </c:pt>
                <c:pt idx="3">
                  <c:v>146.55835373734553</c:v>
                </c:pt>
                <c:pt idx="4">
                  <c:v>177.18557480689498</c:v>
                </c:pt>
                <c:pt idx="5">
                  <c:v>207.81279587644443</c:v>
                </c:pt>
                <c:pt idx="6">
                  <c:v>238.44001694599388</c:v>
                </c:pt>
                <c:pt idx="7">
                  <c:v>269.06723801554335</c:v>
                </c:pt>
                <c:pt idx="8">
                  <c:v>299.69445908509283</c:v>
                </c:pt>
                <c:pt idx="9">
                  <c:v>330.32168015464231</c:v>
                </c:pt>
                <c:pt idx="10">
                  <c:v>360.94890122419179</c:v>
                </c:pt>
                <c:pt idx="11">
                  <c:v>391.57612229374126</c:v>
                </c:pt>
                <c:pt idx="12">
                  <c:v>422.20334336329074</c:v>
                </c:pt>
                <c:pt idx="13">
                  <c:v>452.83056443284022</c:v>
                </c:pt>
                <c:pt idx="14">
                  <c:v>483.4577855023897</c:v>
                </c:pt>
                <c:pt idx="15">
                  <c:v>514.08500657193918</c:v>
                </c:pt>
                <c:pt idx="16">
                  <c:v>544.71222764148865</c:v>
                </c:pt>
                <c:pt idx="17">
                  <c:v>575.33944871103813</c:v>
                </c:pt>
                <c:pt idx="18">
                  <c:v>605.96666978058761</c:v>
                </c:pt>
                <c:pt idx="19">
                  <c:v>636.59389085013709</c:v>
                </c:pt>
                <c:pt idx="20">
                  <c:v>667.22111191968656</c:v>
                </c:pt>
              </c:numCache>
            </c:numRef>
          </c:val>
          <c:extLst xmlns:c15="http://schemas.microsoft.com/office/drawing/2012/chart">
            <c:ext xmlns:c16="http://schemas.microsoft.com/office/drawing/2014/chart" uri="{C3380CC4-5D6E-409C-BE32-E72D297353CC}">
              <c16:uniqueId val="{00000002-628E-47BF-BA75-611E3864FA81}"/>
            </c:ext>
          </c:extLst>
        </c:ser>
        <c:ser>
          <c:idx val="9"/>
          <c:order val="5"/>
          <c:tx>
            <c:strRef>
              <c:f>地域経済性計算シート!$C$560</c:f>
              <c:strCache>
                <c:ptCount val="1"/>
                <c:pt idx="0">
                  <c:v>③運転・維持関連の
地域内事業者利益</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地域経済性計算シート!$D$560:$AH$560</c15:sqref>
                  </c15:fullRef>
                </c:ext>
              </c:extLst>
              <c:f>地域経済性計算シート!$D$560:$X$560</c:f>
              <c:numCache>
                <c:formatCode>#,##0_);[Red]\(#,##0\)</c:formatCode>
                <c:ptCount val="21"/>
                <c:pt idx="0">
                  <c:v>0</c:v>
                </c:pt>
                <c:pt idx="1">
                  <c:v>3.3877480037124261</c:v>
                </c:pt>
                <c:pt idx="2">
                  <c:v>6.7754960074248523</c:v>
                </c:pt>
                <c:pt idx="3">
                  <c:v>10.163244011137278</c:v>
                </c:pt>
                <c:pt idx="4">
                  <c:v>13.550992014849705</c:v>
                </c:pt>
                <c:pt idx="5">
                  <c:v>16.938740018562129</c:v>
                </c:pt>
                <c:pt idx="6">
                  <c:v>20.326488022274553</c:v>
                </c:pt>
                <c:pt idx="7">
                  <c:v>23.714236025986978</c:v>
                </c:pt>
                <c:pt idx="8">
                  <c:v>27.101984029699402</c:v>
                </c:pt>
                <c:pt idx="9">
                  <c:v>30.489732033411826</c:v>
                </c:pt>
                <c:pt idx="10">
                  <c:v>33.877480037124251</c:v>
                </c:pt>
                <c:pt idx="11">
                  <c:v>37.265228040836675</c:v>
                </c:pt>
                <c:pt idx="12">
                  <c:v>40.652976044549099</c:v>
                </c:pt>
                <c:pt idx="13">
                  <c:v>44.040724048261524</c:v>
                </c:pt>
                <c:pt idx="14">
                  <c:v>47.428472051973948</c:v>
                </c:pt>
                <c:pt idx="15">
                  <c:v>50.816220055686372</c:v>
                </c:pt>
                <c:pt idx="16">
                  <c:v>54.203968059398797</c:v>
                </c:pt>
                <c:pt idx="17">
                  <c:v>57.591716063111221</c:v>
                </c:pt>
                <c:pt idx="18">
                  <c:v>60.979464066823645</c:v>
                </c:pt>
                <c:pt idx="19">
                  <c:v>64.36721207053607</c:v>
                </c:pt>
                <c:pt idx="20">
                  <c:v>67.754960074248501</c:v>
                </c:pt>
              </c:numCache>
            </c:numRef>
          </c:val>
          <c:extLst>
            <c:ext xmlns:c16="http://schemas.microsoft.com/office/drawing/2014/chart" uri="{C3380CC4-5D6E-409C-BE32-E72D297353CC}">
              <c16:uniqueId val="{00000007-628E-47BF-BA75-611E3864FA81}"/>
            </c:ext>
          </c:extLst>
        </c:ser>
        <c:ser>
          <c:idx val="6"/>
          <c:order val="6"/>
          <c:tx>
            <c:strRef>
              <c:f>地域経済性計算シート!$C$559</c:f>
              <c:strCache>
                <c:ptCount val="1"/>
                <c:pt idx="0">
                  <c:v>②建設関連の
地域内事業者利益</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地域経済性計算シート!$D$559:$AH$559</c15:sqref>
                  </c15:fullRef>
                </c:ext>
              </c:extLst>
              <c:f>地域経済性計算シート!$D$559:$X$559</c:f>
              <c:numCache>
                <c:formatCode>#,##0_);[Red]\(#,##0\)</c:formatCode>
                <c:ptCount val="21"/>
                <c:pt idx="0">
                  <c:v>21.583838496194108</c:v>
                </c:pt>
                <c:pt idx="1">
                  <c:v>21.583838496194108</c:v>
                </c:pt>
                <c:pt idx="2">
                  <c:v>21.583838496194108</c:v>
                </c:pt>
                <c:pt idx="3">
                  <c:v>21.583838496194108</c:v>
                </c:pt>
                <c:pt idx="4">
                  <c:v>21.583838496194108</c:v>
                </c:pt>
                <c:pt idx="5">
                  <c:v>21.583838496194108</c:v>
                </c:pt>
                <c:pt idx="6">
                  <c:v>21.583838496194108</c:v>
                </c:pt>
                <c:pt idx="7">
                  <c:v>21.583838496194108</c:v>
                </c:pt>
                <c:pt idx="8">
                  <c:v>21.583838496194108</c:v>
                </c:pt>
                <c:pt idx="9">
                  <c:v>21.583838496194108</c:v>
                </c:pt>
                <c:pt idx="10">
                  <c:v>21.583838496194108</c:v>
                </c:pt>
                <c:pt idx="11">
                  <c:v>21.583838496194108</c:v>
                </c:pt>
                <c:pt idx="12">
                  <c:v>21.583838496194108</c:v>
                </c:pt>
                <c:pt idx="13">
                  <c:v>21.583838496194108</c:v>
                </c:pt>
                <c:pt idx="14">
                  <c:v>21.583838496194108</c:v>
                </c:pt>
                <c:pt idx="15">
                  <c:v>21.583838496194108</c:v>
                </c:pt>
                <c:pt idx="16">
                  <c:v>21.583838496194108</c:v>
                </c:pt>
                <c:pt idx="17">
                  <c:v>21.583838496194108</c:v>
                </c:pt>
                <c:pt idx="18">
                  <c:v>21.583838496194108</c:v>
                </c:pt>
                <c:pt idx="19">
                  <c:v>21.583838496194108</c:v>
                </c:pt>
                <c:pt idx="20">
                  <c:v>21.583838496194108</c:v>
                </c:pt>
              </c:numCache>
            </c:numRef>
          </c:val>
          <c:extLst xmlns:c15="http://schemas.microsoft.com/office/drawing/2012/chart">
            <c:ext xmlns:c16="http://schemas.microsoft.com/office/drawing/2014/chart" uri="{C3380CC4-5D6E-409C-BE32-E72D297353CC}">
              <c16:uniqueId val="{00000001-628E-47BF-BA75-611E3864FA81}"/>
            </c:ext>
          </c:extLst>
        </c:ser>
        <c:ser>
          <c:idx val="7"/>
          <c:order val="7"/>
          <c:tx>
            <c:strRef>
              <c:f>地域経済性計算シート!$C$558</c:f>
              <c:strCache>
                <c:ptCount val="1"/>
                <c:pt idx="0">
                  <c:v>①バイオマス事業利益
の地域内配当分</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地域経済性計算シート!$D$558:$AH$558</c15:sqref>
                  </c15:fullRef>
                </c:ext>
              </c:extLst>
              <c:f>地域経済性計算シート!$D$558:$X$558</c:f>
              <c:numCache>
                <c:formatCode>#,##0_);[Red]\(#,##0\)</c:formatCode>
                <c:ptCount val="21"/>
                <c:pt idx="0">
                  <c:v>-781.8448890169534</c:v>
                </c:pt>
                <c:pt idx="1">
                  <c:v>-735.68552704390697</c:v>
                </c:pt>
                <c:pt idx="2">
                  <c:v>-688.73186161929709</c:v>
                </c:pt>
                <c:pt idx="3">
                  <c:v>-640.98389274312376</c:v>
                </c:pt>
                <c:pt idx="4">
                  <c:v>-592.44162041538698</c:v>
                </c:pt>
                <c:pt idx="5">
                  <c:v>-543.10504463608675</c:v>
                </c:pt>
                <c:pt idx="6">
                  <c:v>-492.97416540522312</c:v>
                </c:pt>
                <c:pt idx="7">
                  <c:v>-442.0489827227961</c:v>
                </c:pt>
                <c:pt idx="8">
                  <c:v>-390.32949658880563</c:v>
                </c:pt>
                <c:pt idx="9">
                  <c:v>-337.81570700325176</c:v>
                </c:pt>
                <c:pt idx="10">
                  <c:v>-284.50761396613444</c:v>
                </c:pt>
                <c:pt idx="11">
                  <c:v>-230.40521747745368</c:v>
                </c:pt>
                <c:pt idx="12">
                  <c:v>-175.50851753720949</c:v>
                </c:pt>
                <c:pt idx="13">
                  <c:v>-119.81751414540187</c:v>
                </c:pt>
                <c:pt idx="14">
                  <c:v>-63.332207302030831</c:v>
                </c:pt>
                <c:pt idx="15">
                  <c:v>-6.0525970070963595</c:v>
                </c:pt>
                <c:pt idx="16">
                  <c:v>40.29364340414724</c:v>
                </c:pt>
                <c:pt idx="17">
                  <c:v>86.886895844642396</c:v>
                </c:pt>
                <c:pt idx="18">
                  <c:v>133.72716031438912</c:v>
                </c:pt>
                <c:pt idx="19">
                  <c:v>180.8144368133874</c:v>
                </c:pt>
                <c:pt idx="20">
                  <c:v>228.14872534163726</c:v>
                </c:pt>
              </c:numCache>
            </c:numRef>
          </c:val>
          <c:extLst xmlns:c15="http://schemas.microsoft.com/office/drawing/2012/chart">
            <c:ext xmlns:c16="http://schemas.microsoft.com/office/drawing/2014/chart" uri="{C3380CC4-5D6E-409C-BE32-E72D297353CC}">
              <c16:uniqueId val="{00000000-628E-47BF-BA75-611E3864FA81}"/>
            </c:ext>
          </c:extLst>
        </c:ser>
        <c:ser>
          <c:idx val="8"/>
          <c:order val="8"/>
          <c:tx>
            <c:strRef>
              <c:f>地域経済性計算シート!$C$566</c:f>
              <c:strCache>
                <c:ptCount val="1"/>
                <c:pt idx="0">
                  <c:v>地域経済効果を踏まえた
キャッシュフロー</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地域経済性計算シート!$D$557:$AH$557</c15:sqref>
                  </c15:fullRef>
                </c:ext>
              </c:extLst>
              <c:f>地域経済性計算シート!$D$557:$X$557</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地域経済性計算シート!$D$566:$AH$566</c15:sqref>
                  </c15:fullRef>
                </c:ext>
              </c:extLst>
              <c:f>地域経済性計算シート!$D$566:$X$566</c:f>
              <c:numCache>
                <c:formatCode>#,##0_);[Red]\(#,##0\)</c:formatCode>
                <c:ptCount val="21"/>
                <c:pt idx="0">
                  <c:v>-683.62614324440437</c:v>
                </c:pt>
                <c:pt idx="1">
                  <c:v>-569.59518706720507</c:v>
                </c:pt>
                <c:pt idx="2">
                  <c:v>-456.13101733738188</c:v>
                </c:pt>
                <c:pt idx="3">
                  <c:v>-343.23363405493467</c:v>
                </c:pt>
                <c:pt idx="4">
                  <c:v>-230.90303721986368</c:v>
                </c:pt>
                <c:pt idx="5">
                  <c:v>-119.13922683216873</c:v>
                </c:pt>
                <c:pt idx="6">
                  <c:v>-7.9422028918498686</c:v>
                </c:pt>
                <c:pt idx="7">
                  <c:v>102.68803460109285</c:v>
                </c:pt>
                <c:pt idx="8">
                  <c:v>212.75148564665949</c:v>
                </c:pt>
                <c:pt idx="9">
                  <c:v>322.24815024485002</c:v>
                </c:pt>
                <c:pt idx="10">
                  <c:v>431.17802839566446</c:v>
                </c:pt>
                <c:pt idx="11">
                  <c:v>539.54112009910284</c:v>
                </c:pt>
                <c:pt idx="12">
                  <c:v>647.33742535516512</c:v>
                </c:pt>
                <c:pt idx="13">
                  <c:v>754.5669441638513</c:v>
                </c:pt>
                <c:pt idx="14">
                  <c:v>861.22967652516127</c:v>
                </c:pt>
                <c:pt idx="15">
                  <c:v>967.32562243909524</c:v>
                </c:pt>
                <c:pt idx="16">
                  <c:v>1064.3926919323383</c:v>
                </c:pt>
                <c:pt idx="17">
                  <c:v>1161.4402664005172</c:v>
                </c:pt>
                <c:pt idx="18">
                  <c:v>1258.4683458436321</c:v>
                </c:pt>
                <c:pt idx="19">
                  <c:v>1355.4769302616826</c:v>
                </c:pt>
                <c:pt idx="20">
                  <c:v>1452.4660196546688</c:v>
                </c:pt>
              </c:numCache>
            </c:numRef>
          </c:val>
          <c:extLst>
            <c:ext xmlns:c16="http://schemas.microsoft.com/office/drawing/2014/chart" uri="{C3380CC4-5D6E-409C-BE32-E72D297353CC}">
              <c16:uniqueId val="{00000008-628E-47BF-BA75-611E3864FA81}"/>
            </c:ext>
          </c:extLst>
        </c:ser>
        <c:dLbls>
          <c:showLegendKey val="0"/>
          <c:showVal val="0"/>
          <c:showCatName val="0"/>
          <c:showSerName val="0"/>
          <c:showPercent val="0"/>
          <c:showBubbleSize val="0"/>
        </c:dLbls>
        <c:gapWidth val="150"/>
        <c:overlap val="100"/>
        <c:axId val="458452960"/>
        <c:axId val="458450608"/>
      </c:barChart>
      <c:catAx>
        <c:axId val="45845296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0608"/>
        <c:crosses val="autoZero"/>
        <c:auto val="1"/>
        <c:lblAlgn val="ctr"/>
        <c:lblOffset val="100"/>
        <c:noMultiLvlLbl val="0"/>
      </c:catAx>
      <c:valAx>
        <c:axId val="4584506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2960"/>
        <c:crosses val="autoZero"/>
        <c:crossBetween val="between"/>
      </c:valAx>
      <c:spPr>
        <a:noFill/>
        <a:ln>
          <a:noFill/>
        </a:ln>
        <a:effectLst/>
      </c:spPr>
    </c:plotArea>
    <c:legend>
      <c:legendPos val="r"/>
      <c:legendEntry>
        <c:idx val="0"/>
        <c:delete val="1"/>
      </c:legendEntry>
      <c:layout>
        <c:manualLayout>
          <c:xMode val="edge"/>
          <c:yMode val="edge"/>
          <c:x val="0.77786467875649046"/>
          <c:y val="3.7843803981180528E-2"/>
          <c:w val="0.21767793834422947"/>
          <c:h val="0.9621562782010694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0602373910401E-2"/>
          <c:y val="0.19645232580471861"/>
          <c:w val="0.90152532717354827"/>
          <c:h val="0.67521907445743612"/>
        </c:manualLayout>
      </c:layout>
      <c:barChart>
        <c:barDir val="col"/>
        <c:grouping val="stacked"/>
        <c:varyColors val="0"/>
        <c:ser>
          <c:idx val="1"/>
          <c:order val="0"/>
          <c:tx>
            <c:strRef>
              <c:f>計算シート!$B$236</c:f>
              <c:strCache>
                <c:ptCount val="1"/>
                <c:pt idx="0">
                  <c:v>売電収入</c:v>
                </c:pt>
              </c:strCache>
            </c:strRef>
          </c:tx>
          <c:spPr>
            <a:solidFill>
              <a:schemeClr val="accent2"/>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計算シート!$C$236:$W$236</c:f>
              <c:numCache>
                <c:formatCode>#,##0.0;[Red]\-#,##0.0</c:formatCode>
                <c:ptCount val="21"/>
                <c:pt idx="0">
                  <c:v>0</c:v>
                </c:pt>
                <c:pt idx="1">
                  <c:v>68.270664902343768</c:v>
                </c:pt>
                <c:pt idx="2">
                  <c:v>68.270664902343768</c:v>
                </c:pt>
                <c:pt idx="3">
                  <c:v>68.270664902343768</c:v>
                </c:pt>
                <c:pt idx="4">
                  <c:v>68.270664902343768</c:v>
                </c:pt>
                <c:pt idx="5">
                  <c:v>68.270664902343768</c:v>
                </c:pt>
                <c:pt idx="6">
                  <c:v>68.270664902343768</c:v>
                </c:pt>
                <c:pt idx="7">
                  <c:v>68.270664902343768</c:v>
                </c:pt>
                <c:pt idx="8">
                  <c:v>68.270664902343768</c:v>
                </c:pt>
                <c:pt idx="9">
                  <c:v>68.270664902343768</c:v>
                </c:pt>
                <c:pt idx="10">
                  <c:v>68.270664902343768</c:v>
                </c:pt>
                <c:pt idx="11">
                  <c:v>68.270664902343768</c:v>
                </c:pt>
                <c:pt idx="12">
                  <c:v>68.270664902343768</c:v>
                </c:pt>
                <c:pt idx="13">
                  <c:v>68.270664902343768</c:v>
                </c:pt>
                <c:pt idx="14">
                  <c:v>68.270664902343768</c:v>
                </c:pt>
                <c:pt idx="15">
                  <c:v>68.270664902343768</c:v>
                </c:pt>
                <c:pt idx="16">
                  <c:v>68.270664902343768</c:v>
                </c:pt>
                <c:pt idx="17">
                  <c:v>68.270664902343768</c:v>
                </c:pt>
                <c:pt idx="18">
                  <c:v>68.270664902343768</c:v>
                </c:pt>
                <c:pt idx="19">
                  <c:v>68.270664902343768</c:v>
                </c:pt>
                <c:pt idx="20">
                  <c:v>68.270664902343768</c:v>
                </c:pt>
              </c:numCache>
            </c:numRef>
          </c:val>
          <c:extLst>
            <c:ext xmlns:c16="http://schemas.microsoft.com/office/drawing/2014/chart" uri="{C3380CC4-5D6E-409C-BE32-E72D297353CC}">
              <c16:uniqueId val="{00000000-EBDF-4BBE-8F3C-E8A26D8A2068}"/>
            </c:ext>
          </c:extLst>
        </c:ser>
        <c:ser>
          <c:idx val="2"/>
          <c:order val="1"/>
          <c:tx>
            <c:strRef>
              <c:f>計算シート!$B$237</c:f>
              <c:strCache>
                <c:ptCount val="1"/>
                <c:pt idx="0">
                  <c:v>廃棄物受入収入</c:v>
                </c:pt>
              </c:strCache>
            </c:strRef>
          </c:tx>
          <c:spPr>
            <a:solidFill>
              <a:schemeClr val="accent3"/>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計算シート!$C$237:$W$237</c:f>
              <c:numCache>
                <c:formatCode>#,##0.0;[Red]\-#,##0.0</c:formatCode>
                <c:ptCount val="21"/>
                <c:pt idx="0">
                  <c:v>0</c:v>
                </c:pt>
                <c:pt idx="1">
                  <c:v>231</c:v>
                </c:pt>
                <c:pt idx="2">
                  <c:v>231</c:v>
                </c:pt>
                <c:pt idx="3">
                  <c:v>231</c:v>
                </c:pt>
                <c:pt idx="4">
                  <c:v>231</c:v>
                </c:pt>
                <c:pt idx="5">
                  <c:v>231</c:v>
                </c:pt>
                <c:pt idx="6">
                  <c:v>231</c:v>
                </c:pt>
                <c:pt idx="7">
                  <c:v>231</c:v>
                </c:pt>
                <c:pt idx="8">
                  <c:v>231</c:v>
                </c:pt>
                <c:pt idx="9">
                  <c:v>231</c:v>
                </c:pt>
                <c:pt idx="10">
                  <c:v>231</c:v>
                </c:pt>
                <c:pt idx="11">
                  <c:v>231</c:v>
                </c:pt>
                <c:pt idx="12">
                  <c:v>231</c:v>
                </c:pt>
                <c:pt idx="13">
                  <c:v>231</c:v>
                </c:pt>
                <c:pt idx="14">
                  <c:v>231</c:v>
                </c:pt>
                <c:pt idx="15">
                  <c:v>231</c:v>
                </c:pt>
                <c:pt idx="16">
                  <c:v>231</c:v>
                </c:pt>
                <c:pt idx="17">
                  <c:v>231</c:v>
                </c:pt>
                <c:pt idx="18">
                  <c:v>231</c:v>
                </c:pt>
                <c:pt idx="19">
                  <c:v>231</c:v>
                </c:pt>
                <c:pt idx="20">
                  <c:v>231</c:v>
                </c:pt>
              </c:numCache>
            </c:numRef>
          </c:val>
          <c:extLst>
            <c:ext xmlns:c16="http://schemas.microsoft.com/office/drawing/2014/chart" uri="{C3380CC4-5D6E-409C-BE32-E72D297353CC}">
              <c16:uniqueId val="{00000001-EBDF-4BBE-8F3C-E8A26D8A2068}"/>
            </c:ext>
          </c:extLst>
        </c:ser>
        <c:ser>
          <c:idx val="3"/>
          <c:order val="2"/>
          <c:tx>
            <c:strRef>
              <c:f>計算シート!$B$238</c:f>
              <c:strCache>
                <c:ptCount val="1"/>
                <c:pt idx="0">
                  <c:v>その他収入</c:v>
                </c:pt>
              </c:strCache>
            </c:strRef>
          </c:tx>
          <c:spPr>
            <a:solidFill>
              <a:schemeClr val="accent4"/>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計算シート!$C$238:$W$238</c:f>
              <c:numCache>
                <c:formatCode>#,##0.0;[Red]\-#,##0.0</c:formatCode>
                <c:ptCount val="21"/>
                <c:pt idx="0">
                  <c:v>0</c:v>
                </c:pt>
                <c:pt idx="1">
                  <c:v>0.33</c:v>
                </c:pt>
                <c:pt idx="2">
                  <c:v>0.33</c:v>
                </c:pt>
                <c:pt idx="3">
                  <c:v>0.33</c:v>
                </c:pt>
                <c:pt idx="4">
                  <c:v>0.33</c:v>
                </c:pt>
                <c:pt idx="5">
                  <c:v>0.33</c:v>
                </c:pt>
                <c:pt idx="6">
                  <c:v>0.33</c:v>
                </c:pt>
                <c:pt idx="7">
                  <c:v>0.33</c:v>
                </c:pt>
                <c:pt idx="8">
                  <c:v>0.33</c:v>
                </c:pt>
                <c:pt idx="9">
                  <c:v>0.33</c:v>
                </c:pt>
                <c:pt idx="10">
                  <c:v>0.33</c:v>
                </c:pt>
                <c:pt idx="11">
                  <c:v>0.33</c:v>
                </c:pt>
                <c:pt idx="12">
                  <c:v>0.33</c:v>
                </c:pt>
                <c:pt idx="13">
                  <c:v>0.33</c:v>
                </c:pt>
                <c:pt idx="14">
                  <c:v>0.33</c:v>
                </c:pt>
                <c:pt idx="15">
                  <c:v>0.33</c:v>
                </c:pt>
                <c:pt idx="16">
                  <c:v>0.33</c:v>
                </c:pt>
                <c:pt idx="17">
                  <c:v>0.33</c:v>
                </c:pt>
                <c:pt idx="18">
                  <c:v>0.33</c:v>
                </c:pt>
                <c:pt idx="19">
                  <c:v>0.33</c:v>
                </c:pt>
                <c:pt idx="20">
                  <c:v>0.33</c:v>
                </c:pt>
              </c:numCache>
            </c:numRef>
          </c:val>
          <c:extLst xmlns:c15="http://schemas.microsoft.com/office/drawing/2012/chart">
            <c:ext xmlns:c16="http://schemas.microsoft.com/office/drawing/2014/chart" uri="{C3380CC4-5D6E-409C-BE32-E72D297353CC}">
              <c16:uniqueId val="{00000002-EBDF-4BBE-8F3C-E8A26D8A2068}"/>
            </c:ext>
          </c:extLst>
        </c:ser>
        <c:ser>
          <c:idx val="8"/>
          <c:order val="3"/>
          <c:tx>
            <c:strRef>
              <c:f>計算シート!$B$239</c:f>
              <c:strCache>
                <c:ptCount val="1"/>
                <c:pt idx="0">
                  <c:v>補助金</c:v>
                </c:pt>
              </c:strCache>
            </c:strRef>
          </c:tx>
          <c:spPr>
            <a:solidFill>
              <a:schemeClr val="accent3">
                <a:lumMod val="6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計算シート!$C$239:$W$239</c:f>
              <c:numCache>
                <c:formatCode>#,##0.0;[Red]\-#,##0.0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E-EBDF-4BBE-8F3C-E8A26D8A2068}"/>
            </c:ext>
          </c:extLst>
        </c:ser>
        <c:ser>
          <c:idx val="9"/>
          <c:order val="4"/>
          <c:tx>
            <c:strRef>
              <c:f>計算シート!$B$240</c:f>
              <c:strCache>
                <c:ptCount val="1"/>
                <c:pt idx="0">
                  <c:v>設備費</c:v>
                </c:pt>
              </c:strCache>
            </c:strRef>
          </c:tx>
          <c:spPr>
            <a:solidFill>
              <a:schemeClr val="accent4">
                <a:lumMod val="6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計算シート!$C$240:$W$240</c:f>
              <c:numCache>
                <c:formatCode>#,##0.0;[Red]\-#,##0.0</c:formatCode>
                <c:ptCount val="21"/>
                <c:pt idx="0">
                  <c:v>-1172.7673335254301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F-EBDF-4BBE-8F3C-E8A26D8A2068}"/>
            </c:ext>
          </c:extLst>
        </c:ser>
        <c:ser>
          <c:idx val="10"/>
          <c:order val="5"/>
          <c:tx>
            <c:strRef>
              <c:f>計算シート!$B$241</c:f>
              <c:strCache>
                <c:ptCount val="1"/>
                <c:pt idx="0">
                  <c:v>工事費</c:v>
                </c:pt>
              </c:strCache>
            </c:strRef>
          </c:tx>
          <c:spPr>
            <a:solidFill>
              <a:schemeClr val="accent5">
                <a:lumMod val="6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計算シート!$C$241:$W$241</c:f>
              <c:numCache>
                <c:formatCode>#,##0.0;[Red]\-#,##0.0</c:formatCode>
                <c:ptCount val="21"/>
                <c:pt idx="0">
                  <c:v>-390.9224445084767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10-EBDF-4BBE-8F3C-E8A26D8A2068}"/>
            </c:ext>
          </c:extLst>
        </c:ser>
        <c:ser>
          <c:idx val="11"/>
          <c:order val="6"/>
          <c:tx>
            <c:strRef>
              <c:f>計算シート!$B$242</c:f>
              <c:strCache>
                <c:ptCount val="1"/>
                <c:pt idx="0">
                  <c:v>薬剤・消耗品費用</c:v>
                </c:pt>
              </c:strCache>
            </c:strRef>
          </c:tx>
          <c:spPr>
            <a:solidFill>
              <a:schemeClr val="accent6">
                <a:lumMod val="6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計算シート!$C$242:$W$242</c:f>
              <c:numCache>
                <c:formatCode>#,##0.0;[Red]\-#,##0.0</c:formatCode>
                <c:ptCount val="21"/>
                <c:pt idx="0">
                  <c:v>0</c:v>
                </c:pt>
                <c:pt idx="1">
                  <c:v>-57.525830544324236</c:v>
                </c:pt>
                <c:pt idx="2">
                  <c:v>-57.525830544324236</c:v>
                </c:pt>
                <c:pt idx="3">
                  <c:v>-57.525830544324236</c:v>
                </c:pt>
                <c:pt idx="4">
                  <c:v>-57.525830544324236</c:v>
                </c:pt>
                <c:pt idx="5">
                  <c:v>-57.525830544324236</c:v>
                </c:pt>
                <c:pt idx="6">
                  <c:v>-57.525830544324236</c:v>
                </c:pt>
                <c:pt idx="7">
                  <c:v>-57.525830544324236</c:v>
                </c:pt>
                <c:pt idx="8">
                  <c:v>-57.525830544324236</c:v>
                </c:pt>
                <c:pt idx="9">
                  <c:v>-57.525830544324236</c:v>
                </c:pt>
                <c:pt idx="10">
                  <c:v>-57.525830544324236</c:v>
                </c:pt>
                <c:pt idx="11">
                  <c:v>-57.525830544324236</c:v>
                </c:pt>
                <c:pt idx="12">
                  <c:v>-57.525830544324236</c:v>
                </c:pt>
                <c:pt idx="13">
                  <c:v>-57.525830544324236</c:v>
                </c:pt>
                <c:pt idx="14">
                  <c:v>-57.525830544324236</c:v>
                </c:pt>
                <c:pt idx="15">
                  <c:v>-57.525830544324236</c:v>
                </c:pt>
                <c:pt idx="16">
                  <c:v>-57.525830544324236</c:v>
                </c:pt>
                <c:pt idx="17">
                  <c:v>-57.525830544324236</c:v>
                </c:pt>
                <c:pt idx="18">
                  <c:v>-57.525830544324236</c:v>
                </c:pt>
                <c:pt idx="19">
                  <c:v>-57.525830544324236</c:v>
                </c:pt>
                <c:pt idx="20">
                  <c:v>-57.525830544324236</c:v>
                </c:pt>
              </c:numCache>
            </c:numRef>
          </c:val>
          <c:extLst xmlns:c15="http://schemas.microsoft.com/office/drawing/2012/chart">
            <c:ext xmlns:c16="http://schemas.microsoft.com/office/drawing/2014/chart" uri="{C3380CC4-5D6E-409C-BE32-E72D297353CC}">
              <c16:uniqueId val="{00000011-EBDF-4BBE-8F3C-E8A26D8A2068}"/>
            </c:ext>
          </c:extLst>
        </c:ser>
        <c:ser>
          <c:idx val="12"/>
          <c:order val="7"/>
          <c:tx>
            <c:strRef>
              <c:f>計算シート!$B$243</c:f>
              <c:strCache>
                <c:ptCount val="1"/>
                <c:pt idx="0">
                  <c:v>ユーティリティー費用</c:v>
                </c:pt>
              </c:strCache>
            </c:strRef>
          </c:tx>
          <c:spPr>
            <a:solidFill>
              <a:schemeClr val="accent1">
                <a:lumMod val="80000"/>
                <a:lumOff val="2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計算シート!$C$243:$W$243</c:f>
              <c:numCache>
                <c:formatCode>#,##0.0;[Red]\-#,##0.0</c:formatCode>
                <c:ptCount val="21"/>
                <c:pt idx="0">
                  <c:v>0</c:v>
                </c:pt>
                <c:pt idx="1">
                  <c:v>-24.653927376138959</c:v>
                </c:pt>
                <c:pt idx="2">
                  <c:v>-24.653927376138959</c:v>
                </c:pt>
                <c:pt idx="3">
                  <c:v>-24.653927376138959</c:v>
                </c:pt>
                <c:pt idx="4">
                  <c:v>-24.653927376138959</c:v>
                </c:pt>
                <c:pt idx="5">
                  <c:v>-24.653927376138959</c:v>
                </c:pt>
                <c:pt idx="6">
                  <c:v>-24.653927376138959</c:v>
                </c:pt>
                <c:pt idx="7">
                  <c:v>-24.653927376138959</c:v>
                </c:pt>
                <c:pt idx="8">
                  <c:v>-24.653927376138959</c:v>
                </c:pt>
                <c:pt idx="9">
                  <c:v>-24.653927376138959</c:v>
                </c:pt>
                <c:pt idx="10">
                  <c:v>-24.653927376138959</c:v>
                </c:pt>
                <c:pt idx="11">
                  <c:v>-24.653927376138959</c:v>
                </c:pt>
                <c:pt idx="12">
                  <c:v>-24.653927376138959</c:v>
                </c:pt>
                <c:pt idx="13">
                  <c:v>-24.653927376138959</c:v>
                </c:pt>
                <c:pt idx="14">
                  <c:v>-24.653927376138959</c:v>
                </c:pt>
                <c:pt idx="15">
                  <c:v>-24.653927376138959</c:v>
                </c:pt>
                <c:pt idx="16">
                  <c:v>-24.653927376138959</c:v>
                </c:pt>
                <c:pt idx="17">
                  <c:v>-24.653927376138959</c:v>
                </c:pt>
                <c:pt idx="18">
                  <c:v>-24.653927376138959</c:v>
                </c:pt>
                <c:pt idx="19">
                  <c:v>-24.653927376138959</c:v>
                </c:pt>
                <c:pt idx="20">
                  <c:v>-24.653927376138959</c:v>
                </c:pt>
              </c:numCache>
            </c:numRef>
          </c:val>
          <c:extLst>
            <c:ext xmlns:c16="http://schemas.microsoft.com/office/drawing/2014/chart" uri="{C3380CC4-5D6E-409C-BE32-E72D297353CC}">
              <c16:uniqueId val="{00000003-EBDF-4BBE-8F3C-E8A26D8A2068}"/>
            </c:ext>
          </c:extLst>
        </c:ser>
        <c:ser>
          <c:idx val="17"/>
          <c:order val="8"/>
          <c:tx>
            <c:strRef>
              <c:f>計算シート!$B$244</c:f>
              <c:strCache>
                <c:ptCount val="1"/>
                <c:pt idx="0">
                  <c:v>メンテナンス費</c:v>
                </c:pt>
              </c:strCache>
            </c:strRef>
          </c:tx>
          <c:spPr>
            <a:solidFill>
              <a:schemeClr val="accent6">
                <a:lumMod val="80000"/>
                <a:lumOff val="2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計算シート!$C$244:$W$244</c:f>
              <c:numCache>
                <c:formatCode>#,##0.0;[Red]\-#,##0.0</c:formatCode>
                <c:ptCount val="21"/>
                <c:pt idx="0">
                  <c:v>0</c:v>
                </c:pt>
                <c:pt idx="1">
                  <c:v>-41.089878960231601</c:v>
                </c:pt>
                <c:pt idx="2">
                  <c:v>-41.089878960231601</c:v>
                </c:pt>
                <c:pt idx="3">
                  <c:v>-41.089878960231601</c:v>
                </c:pt>
                <c:pt idx="4">
                  <c:v>-41.089878960231601</c:v>
                </c:pt>
                <c:pt idx="5">
                  <c:v>-41.089878960231601</c:v>
                </c:pt>
                <c:pt idx="6">
                  <c:v>-41.089878960231601</c:v>
                </c:pt>
                <c:pt idx="7">
                  <c:v>-41.089878960231601</c:v>
                </c:pt>
                <c:pt idx="8">
                  <c:v>-41.089878960231601</c:v>
                </c:pt>
                <c:pt idx="9">
                  <c:v>-41.089878960231601</c:v>
                </c:pt>
                <c:pt idx="10">
                  <c:v>-41.089878960231601</c:v>
                </c:pt>
                <c:pt idx="11">
                  <c:v>-41.089878960231601</c:v>
                </c:pt>
                <c:pt idx="12">
                  <c:v>-41.089878960231601</c:v>
                </c:pt>
                <c:pt idx="13">
                  <c:v>-41.089878960231601</c:v>
                </c:pt>
                <c:pt idx="14">
                  <c:v>-41.089878960231601</c:v>
                </c:pt>
                <c:pt idx="15">
                  <c:v>-41.089878960231601</c:v>
                </c:pt>
                <c:pt idx="16">
                  <c:v>-41.089878960231601</c:v>
                </c:pt>
                <c:pt idx="17">
                  <c:v>-41.089878960231601</c:v>
                </c:pt>
                <c:pt idx="18">
                  <c:v>-41.089878960231601</c:v>
                </c:pt>
                <c:pt idx="19">
                  <c:v>-41.089878960231601</c:v>
                </c:pt>
                <c:pt idx="20">
                  <c:v>-41.089878960231601</c:v>
                </c:pt>
              </c:numCache>
            </c:numRef>
          </c:val>
          <c:extLst>
            <c:ext xmlns:c16="http://schemas.microsoft.com/office/drawing/2014/chart" uri="{C3380CC4-5D6E-409C-BE32-E72D297353CC}">
              <c16:uniqueId val="{00000004-EBDF-4BBE-8F3C-E8A26D8A2068}"/>
            </c:ext>
          </c:extLst>
        </c:ser>
        <c:ser>
          <c:idx val="22"/>
          <c:order val="9"/>
          <c:tx>
            <c:strRef>
              <c:f>計算シート!$B$245</c:f>
              <c:strCache>
                <c:ptCount val="1"/>
                <c:pt idx="0">
                  <c:v>人件費</c:v>
                </c:pt>
              </c:strCache>
            </c:strRef>
          </c:tx>
          <c:spPr>
            <a:solidFill>
              <a:schemeClr val="accent5">
                <a:lumMod val="8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計算シート!$C$245:$W$245</c:f>
              <c:numCache>
                <c:formatCode>#,##0.0;[Red]\-#,##0.0</c:formatCode>
                <c:ptCount val="21"/>
                <c:pt idx="0">
                  <c:v>0</c:v>
                </c:pt>
                <c:pt idx="1">
                  <c:v>-24.653927376138959</c:v>
                </c:pt>
                <c:pt idx="2">
                  <c:v>-24.653927376138959</c:v>
                </c:pt>
                <c:pt idx="3">
                  <c:v>-24.653927376138959</c:v>
                </c:pt>
                <c:pt idx="4">
                  <c:v>-24.653927376138959</c:v>
                </c:pt>
                <c:pt idx="5">
                  <c:v>-24.653927376138959</c:v>
                </c:pt>
                <c:pt idx="6">
                  <c:v>-24.653927376138959</c:v>
                </c:pt>
                <c:pt idx="7">
                  <c:v>-24.653927376138959</c:v>
                </c:pt>
                <c:pt idx="8">
                  <c:v>-24.653927376138959</c:v>
                </c:pt>
                <c:pt idx="9">
                  <c:v>-24.653927376138959</c:v>
                </c:pt>
                <c:pt idx="10">
                  <c:v>-24.653927376138959</c:v>
                </c:pt>
                <c:pt idx="11">
                  <c:v>-24.653927376138959</c:v>
                </c:pt>
                <c:pt idx="12">
                  <c:v>-24.653927376138959</c:v>
                </c:pt>
                <c:pt idx="13">
                  <c:v>-24.653927376138959</c:v>
                </c:pt>
                <c:pt idx="14">
                  <c:v>-24.653927376138959</c:v>
                </c:pt>
                <c:pt idx="15">
                  <c:v>-24.653927376138959</c:v>
                </c:pt>
                <c:pt idx="16">
                  <c:v>-24.653927376138959</c:v>
                </c:pt>
                <c:pt idx="17">
                  <c:v>-24.653927376138959</c:v>
                </c:pt>
                <c:pt idx="18">
                  <c:v>-24.653927376138959</c:v>
                </c:pt>
                <c:pt idx="19">
                  <c:v>-24.653927376138959</c:v>
                </c:pt>
                <c:pt idx="20">
                  <c:v>-24.653927376138959</c:v>
                </c:pt>
              </c:numCache>
            </c:numRef>
          </c:val>
          <c:extLst>
            <c:ext xmlns:c16="http://schemas.microsoft.com/office/drawing/2014/chart" uri="{C3380CC4-5D6E-409C-BE32-E72D297353CC}">
              <c16:uniqueId val="{00000005-EBDF-4BBE-8F3C-E8A26D8A2068}"/>
            </c:ext>
          </c:extLst>
        </c:ser>
        <c:ser>
          <c:idx val="26"/>
          <c:order val="10"/>
          <c:tx>
            <c:strRef>
              <c:f>計算シート!$B$246</c:f>
              <c:strCache>
                <c:ptCount val="1"/>
                <c:pt idx="0">
                  <c:v>一般管理費</c:v>
                </c:pt>
              </c:strCache>
            </c:strRef>
          </c:tx>
          <c:spPr>
            <a:solidFill>
              <a:schemeClr val="accent3">
                <a:lumMod val="60000"/>
                <a:lumOff val="4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計算シート!$C$246:$W$246</c:f>
              <c:numCache>
                <c:formatCode>#,##0.0;[Red]\-#,##0.0</c:formatCode>
                <c:ptCount val="21"/>
                <c:pt idx="0">
                  <c:v>0</c:v>
                </c:pt>
                <c:pt idx="1">
                  <c:v>-16.435951584092642</c:v>
                </c:pt>
                <c:pt idx="2">
                  <c:v>-16.435951584092642</c:v>
                </c:pt>
                <c:pt idx="3">
                  <c:v>-16.435951584092642</c:v>
                </c:pt>
                <c:pt idx="4">
                  <c:v>-16.435951584092642</c:v>
                </c:pt>
                <c:pt idx="5">
                  <c:v>-16.435951584092642</c:v>
                </c:pt>
                <c:pt idx="6">
                  <c:v>-16.435951584092642</c:v>
                </c:pt>
                <c:pt idx="7">
                  <c:v>-16.435951584092642</c:v>
                </c:pt>
                <c:pt idx="8">
                  <c:v>-16.435951584092642</c:v>
                </c:pt>
                <c:pt idx="9">
                  <c:v>-16.435951584092642</c:v>
                </c:pt>
                <c:pt idx="10">
                  <c:v>-16.435951584092642</c:v>
                </c:pt>
                <c:pt idx="11">
                  <c:v>-16.435951584092642</c:v>
                </c:pt>
                <c:pt idx="12">
                  <c:v>-16.435951584092642</c:v>
                </c:pt>
                <c:pt idx="13">
                  <c:v>-16.435951584092642</c:v>
                </c:pt>
                <c:pt idx="14">
                  <c:v>-16.435951584092642</c:v>
                </c:pt>
                <c:pt idx="15">
                  <c:v>-16.435951584092642</c:v>
                </c:pt>
                <c:pt idx="16">
                  <c:v>-16.435951584092642</c:v>
                </c:pt>
                <c:pt idx="17">
                  <c:v>-16.435951584092642</c:v>
                </c:pt>
                <c:pt idx="18">
                  <c:v>-16.435951584092642</c:v>
                </c:pt>
                <c:pt idx="19">
                  <c:v>-16.435951584092642</c:v>
                </c:pt>
                <c:pt idx="20">
                  <c:v>-16.435951584092642</c:v>
                </c:pt>
              </c:numCache>
            </c:numRef>
          </c:val>
          <c:extLst>
            <c:ext xmlns:c16="http://schemas.microsoft.com/office/drawing/2014/chart" uri="{C3380CC4-5D6E-409C-BE32-E72D297353CC}">
              <c16:uniqueId val="{00000006-EBDF-4BBE-8F3C-E8A26D8A2068}"/>
            </c:ext>
          </c:extLst>
        </c:ser>
        <c:ser>
          <c:idx val="27"/>
          <c:order val="11"/>
          <c:tx>
            <c:strRef>
              <c:f>計算シート!$B$248</c:f>
              <c:strCache>
                <c:ptCount val="1"/>
                <c:pt idx="0">
                  <c:v>金利</c:v>
                </c:pt>
              </c:strCache>
            </c:strRef>
          </c:tx>
          <c:spPr>
            <a:solidFill>
              <a:schemeClr val="accent4">
                <a:lumMod val="60000"/>
                <a:lumOff val="40000"/>
              </a:schemeClr>
            </a:solidFill>
            <a:ln>
              <a:noFill/>
            </a:ln>
            <a:effectLst/>
          </c:spPr>
          <c:invertIfNegative val="0"/>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計算シート!$C$248:$W$248</c:f>
              <c:numCache>
                <c:formatCode>#,##0.0;[Red]\-#,##0.0</c:formatCode>
                <c:ptCount val="21"/>
                <c:pt idx="0">
                  <c:v>0</c:v>
                </c:pt>
                <c:pt idx="1">
                  <c:v>-10</c:v>
                </c:pt>
                <c:pt idx="2">
                  <c:v>-9.5</c:v>
                </c:pt>
                <c:pt idx="3">
                  <c:v>-9</c:v>
                </c:pt>
                <c:pt idx="4">
                  <c:v>-8.5</c:v>
                </c:pt>
                <c:pt idx="5">
                  <c:v>-8</c:v>
                </c:pt>
                <c:pt idx="6">
                  <c:v>-7.5</c:v>
                </c:pt>
                <c:pt idx="7">
                  <c:v>-7</c:v>
                </c:pt>
                <c:pt idx="8">
                  <c:v>-6.5</c:v>
                </c:pt>
                <c:pt idx="9">
                  <c:v>-6</c:v>
                </c:pt>
                <c:pt idx="10">
                  <c:v>-5.5</c:v>
                </c:pt>
                <c:pt idx="11">
                  <c:v>-5</c:v>
                </c:pt>
                <c:pt idx="12">
                  <c:v>-4.5</c:v>
                </c:pt>
                <c:pt idx="13">
                  <c:v>-4</c:v>
                </c:pt>
                <c:pt idx="14">
                  <c:v>-3.5</c:v>
                </c:pt>
                <c:pt idx="15">
                  <c:v>-3</c:v>
                </c:pt>
                <c:pt idx="16">
                  <c:v>-2.5</c:v>
                </c:pt>
                <c:pt idx="17">
                  <c:v>-2</c:v>
                </c:pt>
                <c:pt idx="18">
                  <c:v>-1.5</c:v>
                </c:pt>
                <c:pt idx="19">
                  <c:v>-1</c:v>
                </c:pt>
                <c:pt idx="20">
                  <c:v>-0.5</c:v>
                </c:pt>
              </c:numCache>
            </c:numRef>
          </c:val>
          <c:extLst>
            <c:ext xmlns:c16="http://schemas.microsoft.com/office/drawing/2014/chart" uri="{C3380CC4-5D6E-409C-BE32-E72D297353CC}">
              <c16:uniqueId val="{00000007-EBDF-4BBE-8F3C-E8A26D8A2068}"/>
            </c:ext>
          </c:extLst>
        </c:ser>
        <c:dLbls>
          <c:showLegendKey val="0"/>
          <c:showVal val="0"/>
          <c:showCatName val="0"/>
          <c:showSerName val="0"/>
          <c:showPercent val="0"/>
          <c:showBubbleSize val="0"/>
        </c:dLbls>
        <c:gapWidth val="150"/>
        <c:overlap val="100"/>
        <c:axId val="458454136"/>
        <c:axId val="458454528"/>
      </c:barChart>
      <c:lineChart>
        <c:grouping val="standard"/>
        <c:varyColors val="0"/>
        <c:ser>
          <c:idx val="4"/>
          <c:order val="12"/>
          <c:tx>
            <c:strRef>
              <c:f>計算シート!$B$249</c:f>
              <c:strCache>
                <c:ptCount val="1"/>
                <c:pt idx="0">
                  <c:v>キャッシュフロー</c:v>
                </c:pt>
              </c:strCache>
            </c:strRef>
          </c:tx>
          <c:spPr>
            <a:ln w="28575" cap="rnd">
              <a:solidFill>
                <a:schemeClr val="accent5"/>
              </a:solidFill>
              <a:round/>
            </a:ln>
            <a:effectLst/>
          </c:spPr>
          <c:marker>
            <c:symbol val="circle"/>
            <c:size val="3"/>
            <c:spPr>
              <a:solidFill>
                <a:schemeClr val="accent5"/>
              </a:solidFill>
              <a:ln w="9525">
                <a:solidFill>
                  <a:schemeClr val="accent5"/>
                </a:solidFill>
              </a:ln>
              <a:effectLst/>
            </c:spPr>
          </c:marker>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計算シート!$C$249:$W$249</c:f>
              <c:numCache>
                <c:formatCode>#,##0_ ;[Red]\-#,##0\ </c:formatCode>
                <c:ptCount val="21"/>
                <c:pt idx="0">
                  <c:v>-1563.6897780339068</c:v>
                </c:pt>
                <c:pt idx="1">
                  <c:v>92.318723946092945</c:v>
                </c:pt>
                <c:pt idx="2">
                  <c:v>93.90733084921979</c:v>
                </c:pt>
                <c:pt idx="3">
                  <c:v>95.495937752346649</c:v>
                </c:pt>
                <c:pt idx="4">
                  <c:v>97.084544655473508</c:v>
                </c:pt>
                <c:pt idx="5">
                  <c:v>98.673151558600367</c:v>
                </c:pt>
                <c:pt idx="6">
                  <c:v>100.26175846172723</c:v>
                </c:pt>
                <c:pt idx="7">
                  <c:v>101.85036536485408</c:v>
                </c:pt>
                <c:pt idx="8">
                  <c:v>103.43897226798094</c:v>
                </c:pt>
                <c:pt idx="9">
                  <c:v>105.02757917110779</c:v>
                </c:pt>
                <c:pt idx="10">
                  <c:v>106.61618607423466</c:v>
                </c:pt>
                <c:pt idx="11">
                  <c:v>108.20479297736151</c:v>
                </c:pt>
                <c:pt idx="12">
                  <c:v>109.79339988048838</c:v>
                </c:pt>
                <c:pt idx="13">
                  <c:v>111.38200678361522</c:v>
                </c:pt>
                <c:pt idx="14">
                  <c:v>112.97061368674208</c:v>
                </c:pt>
                <c:pt idx="15">
                  <c:v>114.55922058986894</c:v>
                </c:pt>
                <c:pt idx="16">
                  <c:v>92.692480822487198</c:v>
                </c:pt>
                <c:pt idx="17">
                  <c:v>93.186504880990327</c:v>
                </c:pt>
                <c:pt idx="18">
                  <c:v>93.680528939493456</c:v>
                </c:pt>
                <c:pt idx="19">
                  <c:v>94.174552997996571</c:v>
                </c:pt>
                <c:pt idx="20">
                  <c:v>94.668577056499686</c:v>
                </c:pt>
              </c:numCache>
            </c:numRef>
          </c:val>
          <c:smooth val="0"/>
          <c:extLst xmlns:c15="http://schemas.microsoft.com/office/drawing/2012/chart">
            <c:ext xmlns:c16="http://schemas.microsoft.com/office/drawing/2014/chart" uri="{C3380CC4-5D6E-409C-BE32-E72D297353CC}">
              <c16:uniqueId val="{00000009-EBDF-4BBE-8F3C-E8A26D8A2068}"/>
            </c:ext>
          </c:extLst>
        </c:ser>
        <c:ser>
          <c:idx val="5"/>
          <c:order val="13"/>
          <c:tx>
            <c:strRef>
              <c:f>計算シート!$B$250</c:f>
              <c:strCache>
                <c:ptCount val="1"/>
                <c:pt idx="0">
                  <c:v>初期投資支出－累計収益</c:v>
                </c:pt>
              </c:strCache>
            </c:strRef>
          </c:tx>
          <c:spPr>
            <a:ln w="28575" cap="rnd">
              <a:solidFill>
                <a:schemeClr val="accent6"/>
              </a:solidFill>
              <a:round/>
            </a:ln>
            <a:effectLst/>
          </c:spPr>
          <c:marker>
            <c:symbol val="circle"/>
            <c:size val="4"/>
            <c:spPr>
              <a:solidFill>
                <a:schemeClr val="accent6"/>
              </a:solidFill>
              <a:ln w="9525">
                <a:solidFill>
                  <a:schemeClr val="accent6"/>
                </a:solidFill>
              </a:ln>
              <a:effectLst/>
            </c:spPr>
          </c:marker>
          <c:cat>
            <c:strRef>
              <c:f>計算シート!$C$235:$W$235</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計算シート!$C$250:$W$250</c:f>
              <c:numCache>
                <c:formatCode>#,##0_);[Red]\(#,##0\)</c:formatCode>
                <c:ptCount val="21"/>
                <c:pt idx="0" formatCode="#,##0_ ;[Red]\-#,##0\ ">
                  <c:v>-1563.6897780339068</c:v>
                </c:pt>
                <c:pt idx="1">
                  <c:v>-1471.3710540878139</c:v>
                </c:pt>
                <c:pt idx="2">
                  <c:v>-1377.4637232385942</c:v>
                </c:pt>
                <c:pt idx="3">
                  <c:v>-1281.9677854862475</c:v>
                </c:pt>
                <c:pt idx="4">
                  <c:v>-1184.883240830774</c:v>
                </c:pt>
                <c:pt idx="5">
                  <c:v>-1086.2100892721735</c:v>
                </c:pt>
                <c:pt idx="6">
                  <c:v>-985.94833081044624</c:v>
                </c:pt>
                <c:pt idx="7">
                  <c:v>-884.09796544559219</c:v>
                </c:pt>
                <c:pt idx="8">
                  <c:v>-780.65899317761125</c:v>
                </c:pt>
                <c:pt idx="9">
                  <c:v>-675.63141400650352</c:v>
                </c:pt>
                <c:pt idx="10">
                  <c:v>-569.01522793226889</c:v>
                </c:pt>
                <c:pt idx="11">
                  <c:v>-460.81043495490735</c:v>
                </c:pt>
                <c:pt idx="12">
                  <c:v>-351.01703507441897</c:v>
                </c:pt>
                <c:pt idx="13">
                  <c:v>-239.63502829080375</c:v>
                </c:pt>
                <c:pt idx="14">
                  <c:v>-126.66441460406166</c:v>
                </c:pt>
                <c:pt idx="15">
                  <c:v>-12.105194014192719</c:v>
                </c:pt>
                <c:pt idx="16">
                  <c:v>80.587286808294479</c:v>
                </c:pt>
                <c:pt idx="17">
                  <c:v>173.77379168928479</c:v>
                </c:pt>
                <c:pt idx="18">
                  <c:v>267.45432062877825</c:v>
                </c:pt>
                <c:pt idx="19">
                  <c:v>361.6288736267748</c:v>
                </c:pt>
                <c:pt idx="20">
                  <c:v>456.29745068327452</c:v>
                </c:pt>
              </c:numCache>
            </c:numRef>
          </c:val>
          <c:smooth val="0"/>
          <c:extLst xmlns:c15="http://schemas.microsoft.com/office/drawing/2012/chart">
            <c:ext xmlns:c16="http://schemas.microsoft.com/office/drawing/2014/chart" uri="{C3380CC4-5D6E-409C-BE32-E72D297353CC}">
              <c16:uniqueId val="{00000012-EBDF-4BBE-8F3C-E8A26D8A2068}"/>
            </c:ext>
          </c:extLst>
        </c:ser>
        <c:dLbls>
          <c:showLegendKey val="0"/>
          <c:showVal val="0"/>
          <c:showCatName val="0"/>
          <c:showSerName val="0"/>
          <c:showPercent val="0"/>
          <c:showBubbleSize val="0"/>
        </c:dLbls>
        <c:marker val="1"/>
        <c:smooth val="0"/>
        <c:axId val="458454136"/>
        <c:axId val="458454528"/>
      </c:lineChart>
      <c:catAx>
        <c:axId val="458454136"/>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4528"/>
        <c:crosses val="autoZero"/>
        <c:auto val="1"/>
        <c:lblAlgn val="ctr"/>
        <c:lblOffset val="100"/>
        <c:noMultiLvlLbl val="0"/>
      </c:catAx>
      <c:valAx>
        <c:axId val="458454528"/>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58454136"/>
        <c:crosses val="autoZero"/>
        <c:crossBetween val="between"/>
      </c:valAx>
      <c:spPr>
        <a:noFill/>
        <a:ln>
          <a:noFill/>
        </a:ln>
        <a:effectLst/>
      </c:spPr>
    </c:plotArea>
    <c:legend>
      <c:legendPos val="t"/>
      <c:layout>
        <c:manualLayout>
          <c:xMode val="edge"/>
          <c:yMode val="edge"/>
          <c:x val="7.079073180813765E-2"/>
          <c:y val="1.7972609460149513E-2"/>
          <c:w val="0.90052907293857665"/>
          <c:h val="0.16666138197292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59407407407407E-2"/>
          <c:y val="0.12960873983739837"/>
          <c:w val="0.87911809941871599"/>
          <c:h val="0.63334905387394713"/>
        </c:manualLayout>
      </c:layout>
      <c:barChart>
        <c:barDir val="col"/>
        <c:grouping val="clustered"/>
        <c:varyColors val="0"/>
        <c:ser>
          <c:idx val="0"/>
          <c:order val="0"/>
          <c:tx>
            <c:strRef>
              <c:f>入門編_計算シート!$D$109</c:f>
              <c:strCache>
                <c:ptCount val="1"/>
                <c:pt idx="0">
                  <c:v>IRR（20年）</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1"/>
              <c:pt idx="0">
                <c:v>設定値×50%</c:v>
              </c:pt>
              <c:pt idx="1">
                <c:v>設定値×60%</c:v>
              </c:pt>
              <c:pt idx="2">
                <c:v>設定値×70%</c:v>
              </c:pt>
              <c:pt idx="3">
                <c:v>設定値×80%</c:v>
              </c:pt>
              <c:pt idx="4">
                <c:v>設定値×90%</c:v>
              </c:pt>
              <c:pt idx="5">
                <c:v>設定値×100%</c:v>
              </c:pt>
              <c:pt idx="6">
                <c:v>設定値×110%</c:v>
              </c:pt>
              <c:pt idx="7">
                <c:v>設定値×120%</c:v>
              </c:pt>
              <c:pt idx="8">
                <c:v>設定値×130%</c:v>
              </c:pt>
              <c:pt idx="9">
                <c:v>設定値×140%</c:v>
              </c:pt>
              <c:pt idx="10">
                <c:v>設定値×150%</c:v>
              </c:pt>
            </c:strLit>
          </c:cat>
          <c:val>
            <c:numRef>
              <c:f>入門編_計算シート!$D$110:$D$120</c:f>
              <c:numCache>
                <c:formatCode>0.0%</c:formatCode>
                <c:ptCount val="11"/>
                <c:pt idx="0">
                  <c:v>3.1145458420751337E-2</c:v>
                </c:pt>
                <c:pt idx="1">
                  <c:v>2.1929344919381588E-2</c:v>
                </c:pt>
                <c:pt idx="2">
                  <c:v>1.3881951459063346E-2</c:v>
                </c:pt>
                <c:pt idx="3">
                  <c:v>6.7661551074575943E-3</c:v>
                </c:pt>
                <c:pt idx="4">
                  <c:v>4.080374300408085E-4</c:v>
                </c:pt>
                <c:pt idx="5">
                  <c:v>-5.9672301591817689E-3</c:v>
                </c:pt>
                <c:pt idx="6">
                  <c:v>-1.2150352148827537E-2</c:v>
                </c:pt>
                <c:pt idx="7">
                  <c:v>-1.7764695927681817E-2</c:v>
                </c:pt>
                <c:pt idx="8">
                  <c:v>-2.3238158601298742E-2</c:v>
                </c:pt>
                <c:pt idx="9">
                  <c:v>-2.8068272286040363E-2</c:v>
                </c:pt>
                <c:pt idx="10">
                  <c:v>-3.2539941852716914E-2</c:v>
                </c:pt>
              </c:numCache>
            </c:numRef>
          </c:val>
          <c:extLst>
            <c:ext xmlns:c16="http://schemas.microsoft.com/office/drawing/2014/chart" uri="{C3380CC4-5D6E-409C-BE32-E72D297353CC}">
              <c16:uniqueId val="{00000000-B380-41E6-B7E9-3A1C68141934}"/>
            </c:ext>
          </c:extLst>
        </c:ser>
        <c:dLbls>
          <c:showLegendKey val="0"/>
          <c:showVal val="0"/>
          <c:showCatName val="0"/>
          <c:showSerName val="0"/>
          <c:showPercent val="0"/>
          <c:showBubbleSize val="0"/>
        </c:dLbls>
        <c:gapWidth val="219"/>
        <c:overlap val="-27"/>
        <c:axId val="459158800"/>
        <c:axId val="459160760"/>
      </c:barChart>
      <c:lineChart>
        <c:grouping val="standard"/>
        <c:varyColors val="0"/>
        <c:ser>
          <c:idx val="1"/>
          <c:order val="1"/>
          <c:tx>
            <c:strRef>
              <c:f>入門編_計算シート!$E$109</c:f>
              <c:strCache>
                <c:ptCount val="1"/>
                <c:pt idx="0">
                  <c:v>投資回収年</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dLbls>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1"/>
              <c:pt idx="0">
                <c:v>設定値×50%</c:v>
              </c:pt>
              <c:pt idx="1">
                <c:v>設定値×60%</c:v>
              </c:pt>
              <c:pt idx="2">
                <c:v>設定値×70%</c:v>
              </c:pt>
              <c:pt idx="3">
                <c:v>設定値×80%</c:v>
              </c:pt>
              <c:pt idx="4">
                <c:v>設定値×90%</c:v>
              </c:pt>
              <c:pt idx="5">
                <c:v>設定値×100%</c:v>
              </c:pt>
              <c:pt idx="6">
                <c:v>設定値×110%</c:v>
              </c:pt>
              <c:pt idx="7">
                <c:v>設定値×120%</c:v>
              </c:pt>
              <c:pt idx="8">
                <c:v>設定値×130%</c:v>
              </c:pt>
              <c:pt idx="9">
                <c:v>設定値×140%</c:v>
              </c:pt>
              <c:pt idx="10">
                <c:v>設定値×150%</c:v>
              </c:pt>
            </c:strLit>
          </c:cat>
          <c:val>
            <c:numRef>
              <c:f>入門編_計算シート!$E$110:$E$120</c:f>
              <c:numCache>
                <c:formatCode>#,##0_);[Red]\(#,##0\)</c:formatCode>
                <c:ptCount val="11"/>
                <c:pt idx="0">
                  <c:v>15</c:v>
                </c:pt>
                <c:pt idx="1">
                  <c:v>16</c:v>
                </c:pt>
                <c:pt idx="2">
                  <c:v>18</c:v>
                </c:pt>
                <c:pt idx="3">
                  <c:v>19</c:v>
                </c:pt>
                <c:pt idx="4">
                  <c:v>20</c:v>
                </c:pt>
                <c:pt idx="5">
                  <c:v>22</c:v>
                </c:pt>
                <c:pt idx="6">
                  <c:v>24</c:v>
                </c:pt>
                <c:pt idx="7">
                  <c:v>25</c:v>
                </c:pt>
                <c:pt idx="8">
                  <c:v>27</c:v>
                </c:pt>
                <c:pt idx="9">
                  <c:v>29</c:v>
                </c:pt>
                <c:pt idx="10">
                  <c:v>9999</c:v>
                </c:pt>
              </c:numCache>
            </c:numRef>
          </c:val>
          <c:smooth val="0"/>
          <c:extLst>
            <c:ext xmlns:c16="http://schemas.microsoft.com/office/drawing/2014/chart" uri="{C3380CC4-5D6E-409C-BE32-E72D297353CC}">
              <c16:uniqueId val="{00000001-B380-41E6-B7E9-3A1C68141934}"/>
            </c:ext>
          </c:extLst>
        </c:ser>
        <c:dLbls>
          <c:showLegendKey val="0"/>
          <c:showVal val="0"/>
          <c:showCatName val="0"/>
          <c:showSerName val="0"/>
          <c:showPercent val="0"/>
          <c:showBubbleSize val="0"/>
        </c:dLbls>
        <c:marker val="1"/>
        <c:smooth val="0"/>
        <c:axId val="459159584"/>
        <c:axId val="459161544"/>
      </c:lineChart>
      <c:catAx>
        <c:axId val="4591588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59160760"/>
        <c:crosses val="autoZero"/>
        <c:auto val="1"/>
        <c:lblAlgn val="ctr"/>
        <c:lblOffset val="5"/>
        <c:noMultiLvlLbl val="0"/>
      </c:catAx>
      <c:valAx>
        <c:axId val="459160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9158800"/>
        <c:crosses val="autoZero"/>
        <c:crossBetween val="between"/>
      </c:valAx>
      <c:valAx>
        <c:axId val="459161544"/>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9159584"/>
        <c:crosses val="max"/>
        <c:crossBetween val="between"/>
      </c:valAx>
      <c:catAx>
        <c:axId val="459159584"/>
        <c:scaling>
          <c:orientation val="minMax"/>
        </c:scaling>
        <c:delete val="1"/>
        <c:axPos val="b"/>
        <c:numFmt formatCode="General" sourceLinked="1"/>
        <c:majorTickMark val="out"/>
        <c:minorTickMark val="none"/>
        <c:tickLblPos val="nextTo"/>
        <c:crossAx val="459161544"/>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5.emf"/><Relationship Id="rId6" Type="http://schemas.openxmlformats.org/officeDocument/2006/relationships/chart" Target="../charts/chart5.xml"/><Relationship Id="rId11" Type="http://schemas.openxmlformats.org/officeDocument/2006/relationships/chart" Target="../charts/chart9.xml"/><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chart" Target="../charts/chart3.xml"/><Relationship Id="rId9"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8</xdr:col>
      <xdr:colOff>149411</xdr:colOff>
      <xdr:row>27</xdr:row>
      <xdr:rowOff>59764</xdr:rowOff>
    </xdr:from>
    <xdr:to>
      <xdr:col>19</xdr:col>
      <xdr:colOff>560294</xdr:colOff>
      <xdr:row>44</xdr:row>
      <xdr:rowOff>94156</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078" y="3584014"/>
          <a:ext cx="7163049" cy="291305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0</xdr:col>
      <xdr:colOff>0</xdr:colOff>
      <xdr:row>27</xdr:row>
      <xdr:rowOff>0</xdr:rowOff>
    </xdr:from>
    <xdr:to>
      <xdr:col>7</xdr:col>
      <xdr:colOff>465667</xdr:colOff>
      <xdr:row>46</xdr:row>
      <xdr:rowOff>15471</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524250"/>
          <a:ext cx="4762500" cy="323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270564</xdr:colOff>
      <xdr:row>11</xdr:row>
      <xdr:rowOff>127000</xdr:rowOff>
    </xdr:from>
    <xdr:to>
      <xdr:col>26</xdr:col>
      <xdr:colOff>390353</xdr:colOff>
      <xdr:row>55</xdr:row>
      <xdr:rowOff>38304</xdr:rowOff>
    </xdr:to>
    <xdr:pic>
      <xdr:nvPicPr>
        <xdr:cNvPr id="39" name="図 38"/>
        <xdr:cNvPicPr>
          <a:picLocks noChangeAspect="1"/>
        </xdr:cNvPicPr>
      </xdr:nvPicPr>
      <xdr:blipFill>
        <a:blip xmlns:r="http://schemas.openxmlformats.org/officeDocument/2006/relationships" r:embed="rId1"/>
        <a:stretch>
          <a:fillRect/>
        </a:stretch>
      </xdr:blipFill>
      <xdr:spPr>
        <a:xfrm>
          <a:off x="10767390" y="2136913"/>
          <a:ext cx="4978920" cy="7200000"/>
        </a:xfrm>
        <a:prstGeom prst="rect">
          <a:avLst/>
        </a:prstGeom>
      </xdr:spPr>
    </xdr:pic>
    <xdr:clientData/>
  </xdr:twoCellAnchor>
  <xdr:twoCellAnchor editAs="oneCell">
    <xdr:from>
      <xdr:col>5</xdr:col>
      <xdr:colOff>6351</xdr:colOff>
      <xdr:row>11</xdr:row>
      <xdr:rowOff>146050</xdr:rowOff>
    </xdr:from>
    <xdr:to>
      <xdr:col>13</xdr:col>
      <xdr:colOff>450430</xdr:colOff>
      <xdr:row>55</xdr:row>
      <xdr:rowOff>81650</xdr:rowOff>
    </xdr:to>
    <xdr:pic>
      <xdr:nvPicPr>
        <xdr:cNvPr id="25" name="図 24"/>
        <xdr:cNvPicPr>
          <a:picLocks noChangeAspect="1"/>
        </xdr:cNvPicPr>
      </xdr:nvPicPr>
      <xdr:blipFill>
        <a:blip xmlns:r="http://schemas.openxmlformats.org/officeDocument/2006/relationships" r:embed="rId2"/>
        <a:stretch>
          <a:fillRect/>
        </a:stretch>
      </xdr:blipFill>
      <xdr:spPr>
        <a:xfrm>
          <a:off x="2616201" y="2152650"/>
          <a:ext cx="5320879" cy="7200000"/>
        </a:xfrm>
        <a:prstGeom prst="rect">
          <a:avLst/>
        </a:prstGeom>
      </xdr:spPr>
    </xdr:pic>
    <xdr:clientData/>
  </xdr:twoCellAnchor>
  <xdr:twoCellAnchor>
    <xdr:from>
      <xdr:col>4</xdr:col>
      <xdr:colOff>330200</xdr:colOff>
      <xdr:row>12</xdr:row>
      <xdr:rowOff>152400</xdr:rowOff>
    </xdr:from>
    <xdr:to>
      <xdr:col>4</xdr:col>
      <xdr:colOff>520700</xdr:colOff>
      <xdr:row>16</xdr:row>
      <xdr:rowOff>44450</xdr:rowOff>
    </xdr:to>
    <xdr:sp macro="" textlink="">
      <xdr:nvSpPr>
        <xdr:cNvPr id="16" name="左中かっこ 15"/>
        <xdr:cNvSpPr/>
      </xdr:nvSpPr>
      <xdr:spPr>
        <a:xfrm>
          <a:off x="2159000" y="1638300"/>
          <a:ext cx="190500" cy="552450"/>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30655</xdr:colOff>
      <xdr:row>13</xdr:row>
      <xdr:rowOff>26276</xdr:rowOff>
    </xdr:from>
    <xdr:to>
      <xdr:col>4</xdr:col>
      <xdr:colOff>240862</xdr:colOff>
      <xdr:row>17</xdr:row>
      <xdr:rowOff>157369</xdr:rowOff>
    </xdr:to>
    <xdr:sp macro="" textlink="">
      <xdr:nvSpPr>
        <xdr:cNvPr id="18" name="テキスト ボックス 17"/>
        <xdr:cNvSpPr txBox="1"/>
      </xdr:nvSpPr>
      <xdr:spPr>
        <a:xfrm>
          <a:off x="221155" y="2130059"/>
          <a:ext cx="2222881" cy="826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＜最低限の入力情報＞</a:t>
          </a:r>
          <a:endParaRPr kumimoji="1" lang="en-US" altLang="ja-JP" sz="900"/>
        </a:p>
        <a:p>
          <a:r>
            <a:rPr kumimoji="1" lang="ja-JP" altLang="en-US" sz="900"/>
            <a:t>受入量・受入価格の廃棄物情報を</a:t>
          </a:r>
          <a:endParaRPr kumimoji="1" lang="en-US" altLang="ja-JP" sz="900"/>
        </a:p>
        <a:p>
          <a:r>
            <a:rPr kumimoji="1" lang="ja-JP" altLang="en-US" sz="900"/>
            <a:t>入力することで結果が出力されます</a:t>
          </a:r>
        </a:p>
      </xdr:txBody>
    </xdr:sp>
    <xdr:clientData/>
  </xdr:twoCellAnchor>
  <xdr:twoCellAnchor>
    <xdr:from>
      <xdr:col>4</xdr:col>
      <xdr:colOff>329324</xdr:colOff>
      <xdr:row>18</xdr:row>
      <xdr:rowOff>77075</xdr:rowOff>
    </xdr:from>
    <xdr:to>
      <xdr:col>4</xdr:col>
      <xdr:colOff>519824</xdr:colOff>
      <xdr:row>22</xdr:row>
      <xdr:rowOff>135759</xdr:rowOff>
    </xdr:to>
    <xdr:sp macro="" textlink="">
      <xdr:nvSpPr>
        <xdr:cNvPr id="19" name="左中かっこ 18"/>
        <xdr:cNvSpPr/>
      </xdr:nvSpPr>
      <xdr:spPr>
        <a:xfrm>
          <a:off x="2155496" y="2573282"/>
          <a:ext cx="190500" cy="724339"/>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48172</xdr:colOff>
      <xdr:row>18</xdr:row>
      <xdr:rowOff>38537</xdr:rowOff>
    </xdr:from>
    <xdr:to>
      <xdr:col>4</xdr:col>
      <xdr:colOff>245242</xdr:colOff>
      <xdr:row>22</xdr:row>
      <xdr:rowOff>148897</xdr:rowOff>
    </xdr:to>
    <xdr:sp macro="" textlink="">
      <xdr:nvSpPr>
        <xdr:cNvPr id="20" name="テキスト ボックス 19"/>
        <xdr:cNvSpPr txBox="1"/>
      </xdr:nvSpPr>
      <xdr:spPr>
        <a:xfrm>
          <a:off x="227724" y="2534744"/>
          <a:ext cx="2023242" cy="776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＜入力情報の逆算＞</a:t>
          </a:r>
          <a:endParaRPr kumimoji="1" lang="en-US" altLang="ja-JP" sz="900"/>
        </a:p>
        <a:p>
          <a:r>
            <a:rPr kumimoji="1" lang="ja-JP" altLang="en-US" sz="900"/>
            <a:t>受入量が不明な場合は、こちらで</a:t>
          </a:r>
          <a:endParaRPr kumimoji="1" lang="en-US" altLang="ja-JP" sz="900"/>
        </a:p>
        <a:p>
          <a:r>
            <a:rPr kumimoji="1" lang="ja-JP" altLang="en-US" sz="900"/>
            <a:t>発電量から逆算することが可能です</a:t>
          </a:r>
        </a:p>
      </xdr:txBody>
    </xdr:sp>
    <xdr:clientData/>
  </xdr:twoCellAnchor>
  <xdr:twoCellAnchor>
    <xdr:from>
      <xdr:col>4</xdr:col>
      <xdr:colOff>328448</xdr:colOff>
      <xdr:row>24</xdr:row>
      <xdr:rowOff>35034</xdr:rowOff>
    </xdr:from>
    <xdr:to>
      <xdr:col>4</xdr:col>
      <xdr:colOff>523327</xdr:colOff>
      <xdr:row>34</xdr:row>
      <xdr:rowOff>26275</xdr:rowOff>
    </xdr:to>
    <xdr:sp macro="" textlink="">
      <xdr:nvSpPr>
        <xdr:cNvPr id="21" name="左中かっこ 20"/>
        <xdr:cNvSpPr/>
      </xdr:nvSpPr>
      <xdr:spPr>
        <a:xfrm>
          <a:off x="2334172" y="3529724"/>
          <a:ext cx="194879" cy="1655379"/>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42041</xdr:colOff>
      <xdr:row>25</xdr:row>
      <xdr:rowOff>37661</xdr:rowOff>
    </xdr:from>
    <xdr:to>
      <xdr:col>4</xdr:col>
      <xdr:colOff>262758</xdr:colOff>
      <xdr:row>30</xdr:row>
      <xdr:rowOff>149087</xdr:rowOff>
    </xdr:to>
    <xdr:sp macro="" textlink="">
      <xdr:nvSpPr>
        <xdr:cNvPr id="22" name="テキスト ボックス 21"/>
        <xdr:cNvSpPr txBox="1"/>
      </xdr:nvSpPr>
      <xdr:spPr>
        <a:xfrm>
          <a:off x="232541" y="4228661"/>
          <a:ext cx="2233391" cy="9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＜計算条件の確認・更新＞</a:t>
          </a:r>
          <a:endParaRPr kumimoji="1" lang="en-US" altLang="ja-JP" sz="900"/>
        </a:p>
        <a:p>
          <a:r>
            <a:rPr kumimoji="1" lang="ja-JP" altLang="en-US" sz="900"/>
            <a:t>デフォルトは</a:t>
          </a:r>
          <a:r>
            <a:rPr kumimoji="1" lang="en-US" altLang="ja-JP" sz="900"/>
            <a:t>FS</a:t>
          </a:r>
          <a:r>
            <a:rPr kumimoji="1" lang="ja-JP" altLang="en-US" sz="900"/>
            <a:t>事業・</a:t>
          </a:r>
          <a:endParaRPr kumimoji="1" lang="en-US" altLang="ja-JP" sz="900"/>
        </a:p>
        <a:p>
          <a:r>
            <a:rPr kumimoji="1" lang="ja-JP" altLang="en-US" sz="900"/>
            <a:t>事業の想定で明らかになっているものは適宜直接更新ください</a:t>
          </a:r>
          <a:endParaRPr kumimoji="1" lang="en-US" altLang="ja-JP" sz="900"/>
        </a:p>
      </xdr:txBody>
    </xdr:sp>
    <xdr:clientData/>
  </xdr:twoCellAnchor>
  <xdr:twoCellAnchor>
    <xdr:from>
      <xdr:col>4</xdr:col>
      <xdr:colOff>547414</xdr:colOff>
      <xdr:row>24</xdr:row>
      <xdr:rowOff>35035</xdr:rowOff>
    </xdr:from>
    <xdr:to>
      <xdr:col>13</xdr:col>
      <xdr:colOff>127000</xdr:colOff>
      <xdr:row>34</xdr:row>
      <xdr:rowOff>39415</xdr:rowOff>
    </xdr:to>
    <xdr:sp macro="" textlink="">
      <xdr:nvSpPr>
        <xdr:cNvPr id="27" name="テキスト ボックス 26"/>
        <xdr:cNvSpPr txBox="1"/>
      </xdr:nvSpPr>
      <xdr:spPr>
        <a:xfrm>
          <a:off x="2553138" y="3529725"/>
          <a:ext cx="5058103" cy="1668518"/>
        </a:xfrm>
        <a:prstGeom prst="rect">
          <a:avLst/>
        </a:prstGeom>
        <a:no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4</xdr:col>
      <xdr:colOff>550919</xdr:colOff>
      <xdr:row>18</xdr:row>
      <xdr:rowOff>73573</xdr:rowOff>
    </xdr:from>
    <xdr:to>
      <xdr:col>8</xdr:col>
      <xdr:colOff>65690</xdr:colOff>
      <xdr:row>22</xdr:row>
      <xdr:rowOff>153276</xdr:rowOff>
    </xdr:to>
    <xdr:sp macro="" textlink="">
      <xdr:nvSpPr>
        <xdr:cNvPr id="28" name="テキスト ボックス 27"/>
        <xdr:cNvSpPr txBox="1"/>
      </xdr:nvSpPr>
      <xdr:spPr>
        <a:xfrm>
          <a:off x="2556643" y="2569780"/>
          <a:ext cx="1949668" cy="745358"/>
        </a:xfrm>
        <a:prstGeom prst="rect">
          <a:avLst/>
        </a:prstGeom>
        <a:no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4</xdr:col>
      <xdr:colOff>545664</xdr:colOff>
      <xdr:row>12</xdr:row>
      <xdr:rowOff>147146</xdr:rowOff>
    </xdr:from>
    <xdr:to>
      <xdr:col>8</xdr:col>
      <xdr:colOff>60435</xdr:colOff>
      <xdr:row>16</xdr:row>
      <xdr:rowOff>74449</xdr:rowOff>
    </xdr:to>
    <xdr:sp macro="" textlink="">
      <xdr:nvSpPr>
        <xdr:cNvPr id="29" name="テキスト ボックス 28"/>
        <xdr:cNvSpPr txBox="1"/>
      </xdr:nvSpPr>
      <xdr:spPr>
        <a:xfrm>
          <a:off x="2551388" y="1644870"/>
          <a:ext cx="1949668" cy="592958"/>
        </a:xfrm>
        <a:prstGeom prst="rect">
          <a:avLst/>
        </a:prstGeom>
        <a:no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8</xdr:col>
      <xdr:colOff>512379</xdr:colOff>
      <xdr:row>12</xdr:row>
      <xdr:rowOff>139920</xdr:rowOff>
    </xdr:from>
    <xdr:to>
      <xdr:col>13</xdr:col>
      <xdr:colOff>584200</xdr:colOff>
      <xdr:row>18</xdr:row>
      <xdr:rowOff>37443</xdr:rowOff>
    </xdr:to>
    <xdr:sp macro="" textlink="">
      <xdr:nvSpPr>
        <xdr:cNvPr id="30" name="テキスト ボックス 29"/>
        <xdr:cNvSpPr txBox="1"/>
      </xdr:nvSpPr>
      <xdr:spPr>
        <a:xfrm>
          <a:off x="4951029" y="2311620"/>
          <a:ext cx="3119821" cy="888123"/>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14</xdr:col>
      <xdr:colOff>43137</xdr:colOff>
      <xdr:row>12</xdr:row>
      <xdr:rowOff>138606</xdr:rowOff>
    </xdr:from>
    <xdr:to>
      <xdr:col>14</xdr:col>
      <xdr:colOff>233637</xdr:colOff>
      <xdr:row>18</xdr:row>
      <xdr:rowOff>28684</xdr:rowOff>
    </xdr:to>
    <xdr:sp macro="" textlink="">
      <xdr:nvSpPr>
        <xdr:cNvPr id="31" name="左中かっこ 30"/>
        <xdr:cNvSpPr/>
      </xdr:nvSpPr>
      <xdr:spPr>
        <a:xfrm flipH="1">
          <a:off x="8139387" y="2310306"/>
          <a:ext cx="190500" cy="880678"/>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318158</xdr:colOff>
      <xdr:row>13</xdr:row>
      <xdr:rowOff>71601</xdr:rowOff>
    </xdr:from>
    <xdr:to>
      <xdr:col>17</xdr:col>
      <xdr:colOff>419894</xdr:colOff>
      <xdr:row>16</xdr:row>
      <xdr:rowOff>141670</xdr:rowOff>
    </xdr:to>
    <xdr:sp macro="" textlink="">
      <xdr:nvSpPr>
        <xdr:cNvPr id="32" name="テキスト ボックス 31"/>
        <xdr:cNvSpPr txBox="1"/>
      </xdr:nvSpPr>
      <xdr:spPr>
        <a:xfrm>
          <a:off x="8414408" y="2408401"/>
          <a:ext cx="1930536" cy="565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＜計算結果の全体像＞</a:t>
          </a:r>
          <a:endParaRPr kumimoji="1" lang="en-US" altLang="ja-JP" sz="900"/>
        </a:p>
        <a:p>
          <a:r>
            <a:rPr kumimoji="1" lang="ja-JP" altLang="en-US" sz="900"/>
            <a:t>詳細は</a:t>
          </a:r>
          <a:r>
            <a:rPr kumimoji="1" lang="en-US" altLang="ja-JP" sz="900"/>
            <a:t>STEP3</a:t>
          </a:r>
          <a:r>
            <a:rPr kumimoji="1" lang="ja-JP" altLang="en-US" sz="900"/>
            <a:t>以降で確認できます</a:t>
          </a:r>
          <a:endParaRPr kumimoji="1" lang="en-US" altLang="ja-JP" sz="900"/>
        </a:p>
      </xdr:txBody>
    </xdr:sp>
    <xdr:clientData/>
  </xdr:twoCellAnchor>
  <xdr:twoCellAnchor>
    <xdr:from>
      <xdr:col>11</xdr:col>
      <xdr:colOff>12263</xdr:colOff>
      <xdr:row>35</xdr:row>
      <xdr:rowOff>115614</xdr:rowOff>
    </xdr:from>
    <xdr:to>
      <xdr:col>13</xdr:col>
      <xdr:colOff>546539</xdr:colOff>
      <xdr:row>54</xdr:row>
      <xdr:rowOff>127876</xdr:rowOff>
    </xdr:to>
    <xdr:sp macro="" textlink="">
      <xdr:nvSpPr>
        <xdr:cNvPr id="33" name="テキスト ボックス 32"/>
        <xdr:cNvSpPr txBox="1"/>
      </xdr:nvSpPr>
      <xdr:spPr>
        <a:xfrm>
          <a:off x="6279713" y="6084614"/>
          <a:ext cx="1753476" cy="3149162"/>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14</xdr:col>
      <xdr:colOff>1752</xdr:colOff>
      <xdr:row>35</xdr:row>
      <xdr:rowOff>118678</xdr:rowOff>
    </xdr:from>
    <xdr:to>
      <xdr:col>14</xdr:col>
      <xdr:colOff>192252</xdr:colOff>
      <xdr:row>54</xdr:row>
      <xdr:rowOff>124816</xdr:rowOff>
    </xdr:to>
    <xdr:sp macro="" textlink="">
      <xdr:nvSpPr>
        <xdr:cNvPr id="34" name="左中かっこ 33"/>
        <xdr:cNvSpPr/>
      </xdr:nvSpPr>
      <xdr:spPr>
        <a:xfrm flipH="1">
          <a:off x="8098002" y="6087678"/>
          <a:ext cx="190500" cy="3143038"/>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281153</xdr:colOff>
      <xdr:row>43</xdr:row>
      <xdr:rowOff>108606</xdr:rowOff>
    </xdr:from>
    <xdr:to>
      <xdr:col>17</xdr:col>
      <xdr:colOff>273270</xdr:colOff>
      <xdr:row>50</xdr:row>
      <xdr:rowOff>143013</xdr:rowOff>
    </xdr:to>
    <xdr:sp macro="" textlink="">
      <xdr:nvSpPr>
        <xdr:cNvPr id="35" name="テキスト ボックス 34"/>
        <xdr:cNvSpPr txBox="1"/>
      </xdr:nvSpPr>
      <xdr:spPr>
        <a:xfrm>
          <a:off x="8377403" y="7398406"/>
          <a:ext cx="1820917" cy="1190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＜事業検討のポイント＞</a:t>
          </a:r>
          <a:endParaRPr kumimoji="1" lang="en-US" altLang="ja-JP" sz="900"/>
        </a:p>
        <a:p>
          <a:r>
            <a:rPr kumimoji="1" lang="ja-JP" altLang="en-US" sz="900"/>
            <a:t>事業を検討する際の注意点を記載しています。詳細・その他の事項はガイドラインをご確認ください</a:t>
          </a:r>
          <a:endParaRPr kumimoji="1" lang="en-US" altLang="ja-JP" sz="900"/>
        </a:p>
      </xdr:txBody>
    </xdr:sp>
    <xdr:clientData/>
  </xdr:twoCellAnchor>
  <xdr:twoCellAnchor>
    <xdr:from>
      <xdr:col>17</xdr:col>
      <xdr:colOff>494233</xdr:colOff>
      <xdr:row>12</xdr:row>
      <xdr:rowOff>107110</xdr:rowOff>
    </xdr:from>
    <xdr:to>
      <xdr:col>18</xdr:col>
      <xdr:colOff>66262</xdr:colOff>
      <xdr:row>22</xdr:row>
      <xdr:rowOff>71783</xdr:rowOff>
    </xdr:to>
    <xdr:sp macro="" textlink="">
      <xdr:nvSpPr>
        <xdr:cNvPr id="46" name="左中かっこ 45"/>
        <xdr:cNvSpPr/>
      </xdr:nvSpPr>
      <xdr:spPr>
        <a:xfrm>
          <a:off x="10383668" y="2282675"/>
          <a:ext cx="179420" cy="1621195"/>
        </a:xfrm>
        <a:prstGeom prst="leftBrace">
          <a:avLst>
            <a:gd name="adj1" fmla="val 8333"/>
            <a:gd name="adj2" fmla="val 66183"/>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143566</xdr:colOff>
      <xdr:row>12</xdr:row>
      <xdr:rowOff>103996</xdr:rowOff>
    </xdr:from>
    <xdr:to>
      <xdr:col>21</xdr:col>
      <xdr:colOff>215348</xdr:colOff>
      <xdr:row>22</xdr:row>
      <xdr:rowOff>88348</xdr:rowOff>
    </xdr:to>
    <xdr:sp macro="" textlink="">
      <xdr:nvSpPr>
        <xdr:cNvPr id="47" name="テキスト ボックス 46"/>
        <xdr:cNvSpPr txBox="1"/>
      </xdr:nvSpPr>
      <xdr:spPr>
        <a:xfrm>
          <a:off x="10640392" y="2279561"/>
          <a:ext cx="1893956" cy="1640874"/>
        </a:xfrm>
        <a:prstGeom prst="rect">
          <a:avLst/>
        </a:prstGeom>
        <a:no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14</xdr:col>
      <xdr:colOff>340519</xdr:colOff>
      <xdr:row>17</xdr:row>
      <xdr:rowOff>114314</xdr:rowOff>
    </xdr:from>
    <xdr:to>
      <xdr:col>17</xdr:col>
      <xdr:colOff>438944</xdr:colOff>
      <xdr:row>22</xdr:row>
      <xdr:rowOff>92487</xdr:rowOff>
    </xdr:to>
    <xdr:sp macro="" textlink="">
      <xdr:nvSpPr>
        <xdr:cNvPr id="48" name="テキスト ボックス 47"/>
        <xdr:cNvSpPr txBox="1"/>
      </xdr:nvSpPr>
      <xdr:spPr>
        <a:xfrm>
          <a:off x="8407780" y="3118140"/>
          <a:ext cx="1920599" cy="806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＜地域経済波及効果の条件入力＞</a:t>
          </a:r>
          <a:endParaRPr kumimoji="1" lang="en-US" altLang="ja-JP" sz="900"/>
        </a:p>
        <a:p>
          <a:r>
            <a:rPr kumimoji="1" lang="ja-JP" altLang="en-US" sz="900"/>
            <a:t>明らかになっている範囲で入力ください（デフォルトは想定値）</a:t>
          </a:r>
          <a:endParaRPr kumimoji="1" lang="en-US" altLang="ja-JP" sz="900"/>
        </a:p>
      </xdr:txBody>
    </xdr:sp>
    <xdr:clientData/>
  </xdr:twoCellAnchor>
  <xdr:twoCellAnchor>
    <xdr:from>
      <xdr:col>18</xdr:col>
      <xdr:colOff>143565</xdr:colOff>
      <xdr:row>25</xdr:row>
      <xdr:rowOff>36338</xdr:rowOff>
    </xdr:from>
    <xdr:to>
      <xdr:col>26</xdr:col>
      <xdr:colOff>309217</xdr:colOff>
      <xdr:row>35</xdr:row>
      <xdr:rowOff>95249</xdr:rowOff>
    </xdr:to>
    <xdr:sp macro="" textlink="">
      <xdr:nvSpPr>
        <xdr:cNvPr id="58" name="テキスト ボックス 57"/>
        <xdr:cNvSpPr txBox="1"/>
      </xdr:nvSpPr>
      <xdr:spPr>
        <a:xfrm>
          <a:off x="10640391" y="4365381"/>
          <a:ext cx="5024783" cy="1715433"/>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17</xdr:col>
      <xdr:colOff>501650</xdr:colOff>
      <xdr:row>25</xdr:row>
      <xdr:rowOff>62799</xdr:rowOff>
    </xdr:from>
    <xdr:to>
      <xdr:col>18</xdr:col>
      <xdr:colOff>96077</xdr:colOff>
      <xdr:row>35</xdr:row>
      <xdr:rowOff>78684</xdr:rowOff>
    </xdr:to>
    <xdr:sp macro="" textlink="">
      <xdr:nvSpPr>
        <xdr:cNvPr id="59" name="左中かっこ 58"/>
        <xdr:cNvSpPr/>
      </xdr:nvSpPr>
      <xdr:spPr>
        <a:xfrm>
          <a:off x="10426700" y="4380799"/>
          <a:ext cx="204027" cy="1666885"/>
        </a:xfrm>
        <a:prstGeom prst="leftBrace">
          <a:avLst>
            <a:gd name="adj1" fmla="val 8333"/>
            <a:gd name="adj2" fmla="val 23591"/>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299624</xdr:colOff>
      <xdr:row>25</xdr:row>
      <xdr:rowOff>91747</xdr:rowOff>
    </xdr:from>
    <xdr:to>
      <xdr:col>17</xdr:col>
      <xdr:colOff>438426</xdr:colOff>
      <xdr:row>31</xdr:row>
      <xdr:rowOff>149916</xdr:rowOff>
    </xdr:to>
    <xdr:sp macro="" textlink="">
      <xdr:nvSpPr>
        <xdr:cNvPr id="60" name="テキスト ボックス 59"/>
        <xdr:cNvSpPr txBox="1"/>
      </xdr:nvSpPr>
      <xdr:spPr>
        <a:xfrm>
          <a:off x="8395874" y="4409747"/>
          <a:ext cx="1967602" cy="1048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＜循環する費用・経済効果の整理＞事業開始前（左）と事業開始後（右）におけるキャッシュの循環や、経済効果を表しております</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371928</xdr:colOff>
      <xdr:row>163</xdr:row>
      <xdr:rowOff>145141</xdr:rowOff>
    </xdr:from>
    <xdr:to>
      <xdr:col>5</xdr:col>
      <xdr:colOff>667014</xdr:colOff>
      <xdr:row>179</xdr:row>
      <xdr:rowOff>244928</xdr:rowOff>
    </xdr:to>
    <xdr:pic>
      <xdr:nvPicPr>
        <xdr:cNvPr id="44" name="図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642" y="36476212"/>
          <a:ext cx="6454586" cy="416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206376</xdr:colOff>
      <xdr:row>57</xdr:row>
      <xdr:rowOff>259291</xdr:rowOff>
    </xdr:from>
    <xdr:to>
      <xdr:col>12</xdr:col>
      <xdr:colOff>184727</xdr:colOff>
      <xdr:row>74</xdr:row>
      <xdr:rowOff>27214</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254000</xdr:colOff>
      <xdr:row>3</xdr:row>
      <xdr:rowOff>0</xdr:rowOff>
    </xdr:from>
    <xdr:to>
      <xdr:col>13</xdr:col>
      <xdr:colOff>3658</xdr:colOff>
      <xdr:row>14</xdr:row>
      <xdr:rowOff>33500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127000</xdr:colOff>
      <xdr:row>3</xdr:row>
      <xdr:rowOff>10584</xdr:rowOff>
    </xdr:from>
    <xdr:to>
      <xdr:col>15</xdr:col>
      <xdr:colOff>438727</xdr:colOff>
      <xdr:row>14</xdr:row>
      <xdr:rowOff>44084</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140</xdr:row>
      <xdr:rowOff>0</xdr:rowOff>
    </xdr:from>
    <xdr:to>
      <xdr:col>16</xdr:col>
      <xdr:colOff>13607</xdr:colOff>
      <xdr:row>154</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611908</xdr:colOff>
      <xdr:row>156</xdr:row>
      <xdr:rowOff>140469</xdr:rowOff>
    </xdr:from>
    <xdr:to>
      <xdr:col>13</xdr:col>
      <xdr:colOff>253999</xdr:colOff>
      <xdr:row>158</xdr:row>
      <xdr:rowOff>80818</xdr:rowOff>
    </xdr:to>
    <xdr:sp macro="" textlink="">
      <xdr:nvSpPr>
        <xdr:cNvPr id="32" name="二等辺三角形 31"/>
        <xdr:cNvSpPr/>
      </xdr:nvSpPr>
      <xdr:spPr>
        <a:xfrm rot="10800000">
          <a:off x="5957453" y="35550378"/>
          <a:ext cx="7804728" cy="40216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278750</xdr:colOff>
      <xdr:row>163</xdr:row>
      <xdr:rowOff>215158</xdr:rowOff>
    </xdr:from>
    <xdr:to>
      <xdr:col>6</xdr:col>
      <xdr:colOff>717851</xdr:colOff>
      <xdr:row>181</xdr:row>
      <xdr:rowOff>108857</xdr:rowOff>
    </xdr:to>
    <xdr:sp macro="" textlink="">
      <xdr:nvSpPr>
        <xdr:cNvPr id="38" name="二等辺三角形 37"/>
        <xdr:cNvSpPr/>
      </xdr:nvSpPr>
      <xdr:spPr>
        <a:xfrm rot="5400000">
          <a:off x="5513522" y="39666243"/>
          <a:ext cx="4465699" cy="439101"/>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216203</xdr:colOff>
      <xdr:row>190</xdr:row>
      <xdr:rowOff>190499</xdr:rowOff>
    </xdr:from>
    <xdr:to>
      <xdr:col>20</xdr:col>
      <xdr:colOff>1127125</xdr:colOff>
      <xdr:row>208</xdr:row>
      <xdr:rowOff>71437</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31749</xdr:colOff>
      <xdr:row>227</xdr:row>
      <xdr:rowOff>84667</xdr:rowOff>
    </xdr:from>
    <xdr:to>
      <xdr:col>8</xdr:col>
      <xdr:colOff>1058332</xdr:colOff>
      <xdr:row>241</xdr:row>
      <xdr:rowOff>201084</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211</xdr:row>
      <xdr:rowOff>1</xdr:rowOff>
    </xdr:from>
    <xdr:to>
      <xdr:col>8</xdr:col>
      <xdr:colOff>1063625</xdr:colOff>
      <xdr:row>225</xdr:row>
      <xdr:rowOff>158751</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1534585</xdr:colOff>
      <xdr:row>161</xdr:row>
      <xdr:rowOff>126998</xdr:rowOff>
    </xdr:from>
    <xdr:to>
      <xdr:col>20</xdr:col>
      <xdr:colOff>1164169</xdr:colOff>
      <xdr:row>188</xdr:row>
      <xdr:rowOff>81150</xdr:rowOff>
    </xdr:to>
    <xdr:grpSp>
      <xdr:nvGrpSpPr>
        <xdr:cNvPr id="4" name="グループ化 3"/>
        <xdr:cNvGrpSpPr/>
      </xdr:nvGrpSpPr>
      <xdr:grpSpPr>
        <a:xfrm>
          <a:off x="8773585" y="36205581"/>
          <a:ext cx="11218334" cy="6833319"/>
          <a:chOff x="8773585" y="36205581"/>
          <a:chExt cx="11218334" cy="6833319"/>
        </a:xfrm>
      </xdr:grpSpPr>
      <xdr:pic>
        <xdr:nvPicPr>
          <xdr:cNvPr id="43" name="図 4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773585" y="36205581"/>
            <a:ext cx="11218334" cy="6833319"/>
          </a:xfrm>
          <a:prstGeom prst="rect">
            <a:avLst/>
          </a:prstGeom>
          <a:noFill/>
          <a:extLst>
            <a:ext uri="{909E8E84-426E-40DD-AFC4-6F175D3DCCD1}">
              <a14:hiddenFill xmlns:a14="http://schemas.microsoft.com/office/drawing/2010/main">
                <a:solidFill>
                  <a:srgbClr val="FFFFFF"/>
                </a:solidFill>
              </a14:hiddenFill>
            </a:ext>
          </a:extLst>
        </xdr:spPr>
      </xdr:pic>
      <xdr:sp macro="" textlink="$Y$189">
        <xdr:nvSpPr>
          <xdr:cNvPr id="3" name="テキスト ボックス 2"/>
          <xdr:cNvSpPr txBox="1"/>
        </xdr:nvSpPr>
        <xdr:spPr>
          <a:xfrm>
            <a:off x="14393809" y="37529449"/>
            <a:ext cx="993284" cy="46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3B2679F0-D979-424E-B8BA-FEB271C65EE6}" type="TxLink">
              <a:rPr kumimoji="1" lang="en-US" altLang="en-US" sz="2000" b="0" i="0" u="none" strike="noStrike">
                <a:solidFill>
                  <a:srgbClr val="000000"/>
                </a:solidFill>
                <a:latin typeface="Arial" panose="020B0604020202020204" pitchFamily="34" charset="0"/>
                <a:ea typeface="ＭＳ Ｐゴシック"/>
                <a:cs typeface="Arial" panose="020B0604020202020204" pitchFamily="34" charset="0"/>
              </a:rPr>
              <a:pPr algn="r"/>
              <a:t>456</a:t>
            </a:fld>
            <a:endParaRPr kumimoji="1" lang="en-US" altLang="ja-JP" sz="2800">
              <a:latin typeface="Arial" panose="020B0604020202020204" pitchFamily="34" charset="0"/>
              <a:cs typeface="Arial" panose="020B0604020202020204" pitchFamily="34" charset="0"/>
            </a:endParaRPr>
          </a:p>
        </xdr:txBody>
      </xdr:sp>
      <xdr:sp macro="" textlink="$D$189">
        <xdr:nvSpPr>
          <xdr:cNvPr id="16" name="テキスト ボックス 15"/>
          <xdr:cNvSpPr txBox="1"/>
        </xdr:nvSpPr>
        <xdr:spPr>
          <a:xfrm>
            <a:off x="14417015" y="38584830"/>
            <a:ext cx="981497" cy="46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fld id="{8D75D982-F865-4442-8DE7-C1FFAB94B6D8}"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marL="0" indent="0" algn="r"/>
              <a:t>228</a:t>
            </a:fld>
            <a:endParaRPr kumimoji="1" lang="en-US" altLang="ja-JP"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endParaRPr>
          </a:p>
        </xdr:txBody>
      </xdr:sp>
      <xdr:sp macro="" textlink="$S$148">
        <xdr:nvSpPr>
          <xdr:cNvPr id="22" name="テキスト ボックス 21"/>
          <xdr:cNvSpPr txBox="1"/>
        </xdr:nvSpPr>
        <xdr:spPr>
          <a:xfrm>
            <a:off x="10446583" y="42314531"/>
            <a:ext cx="2186681" cy="554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fld id="{9C4A0C61-6BB7-4DB0-A917-69E6F06CBC3E}" type="TxLink">
              <a:rPr kumimoji="1" lang="en-US" altLang="en-US" sz="3600" b="0" i="0" u="none" strike="noStrike">
                <a:solidFill>
                  <a:srgbClr val="000000"/>
                </a:solidFill>
                <a:latin typeface="Arial" panose="020B0604020202020204" pitchFamily="34" charset="0"/>
                <a:ea typeface="ＭＳ Ｐゴシック"/>
                <a:cs typeface="Arial" panose="020B0604020202020204" pitchFamily="34" charset="0"/>
              </a:rPr>
              <a:pPr marL="0" indent="0" algn="r"/>
              <a:t>1,435</a:t>
            </a:fld>
            <a:endParaRPr kumimoji="1" lang="en-US" altLang="ja-JP" sz="3600" b="0" i="0" u="none" strike="noStrike">
              <a:solidFill>
                <a:srgbClr val="000000"/>
              </a:solidFill>
              <a:latin typeface="Arial" panose="020B0604020202020204" pitchFamily="34" charset="0"/>
              <a:ea typeface="ＭＳ Ｐゴシック"/>
              <a:cs typeface="Arial" panose="020B0604020202020204" pitchFamily="34" charset="0"/>
            </a:endParaRPr>
          </a:p>
        </xdr:txBody>
      </xdr:sp>
      <xdr:sp macro="" textlink="$D$203">
        <xdr:nvSpPr>
          <xdr:cNvPr id="23" name="テキスト ボックス 22"/>
          <xdr:cNvSpPr txBox="1"/>
        </xdr:nvSpPr>
        <xdr:spPr>
          <a:xfrm>
            <a:off x="10637137" y="40762762"/>
            <a:ext cx="1108363" cy="45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5EBDB7F0-C05F-486C-8C35-2CC981A15FF1}"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algn="r"/>
              <a:t>26</a:t>
            </a:fld>
            <a:endParaRPr kumimoji="1" lang="en-US" altLang="ja-JP" sz="2000">
              <a:latin typeface="Arial" panose="020B0604020202020204" pitchFamily="34" charset="0"/>
              <a:ea typeface="Arial Unicode MS" panose="020B0604020202020204" pitchFamily="50" charset="-128"/>
              <a:cs typeface="Arial" panose="020B0604020202020204" pitchFamily="34" charset="0"/>
            </a:endParaRPr>
          </a:p>
        </xdr:txBody>
      </xdr:sp>
      <xdr:sp macro="" textlink="$D$205">
        <xdr:nvSpPr>
          <xdr:cNvPr id="26" name="テキスト ボックス 25"/>
          <xdr:cNvSpPr txBox="1"/>
        </xdr:nvSpPr>
        <xdr:spPr>
          <a:xfrm>
            <a:off x="10662357" y="39260435"/>
            <a:ext cx="1108363" cy="45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004CD32A-A8C1-4197-8C87-0F71B422FCD9}"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algn="r"/>
              <a:t>0</a:t>
            </a:fld>
            <a:endParaRPr kumimoji="1" lang="en-US" altLang="ja-JP" sz="2000">
              <a:latin typeface="Arial" panose="020B0604020202020204" pitchFamily="34" charset="0"/>
              <a:ea typeface="Arial Unicode MS" panose="020B0604020202020204" pitchFamily="50" charset="-128"/>
              <a:cs typeface="Arial" panose="020B0604020202020204" pitchFamily="34" charset="0"/>
            </a:endParaRPr>
          </a:p>
        </xdr:txBody>
      </xdr:sp>
      <xdr:sp macro="" textlink="$D$209">
        <xdr:nvSpPr>
          <xdr:cNvPr id="27" name="テキスト ボックス 26"/>
          <xdr:cNvSpPr txBox="1"/>
        </xdr:nvSpPr>
        <xdr:spPr>
          <a:xfrm>
            <a:off x="10639149" y="37572523"/>
            <a:ext cx="1108363" cy="45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5967DB8F-821D-4493-9E4B-F035ED5A7740}"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algn="r"/>
              <a:t>0</a:t>
            </a:fld>
            <a:endParaRPr kumimoji="1" lang="en-US" altLang="ja-JP" sz="2000">
              <a:latin typeface="Arial" panose="020B0604020202020204" pitchFamily="34" charset="0"/>
              <a:ea typeface="Arial Unicode MS" panose="020B0604020202020204" pitchFamily="50" charset="-128"/>
              <a:cs typeface="Arial" panose="020B0604020202020204" pitchFamily="34" charset="0"/>
            </a:endParaRPr>
          </a:p>
        </xdr:txBody>
      </xdr:sp>
      <xdr:sp macro="" textlink="$D$191">
        <xdr:nvSpPr>
          <xdr:cNvPr id="28" name="テキスト ボックス 27"/>
          <xdr:cNvSpPr txBox="1"/>
        </xdr:nvSpPr>
        <xdr:spPr>
          <a:xfrm>
            <a:off x="18028199" y="37376445"/>
            <a:ext cx="1095153" cy="45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D9BD8C8B-25FB-40CB-AB33-6B3DCEC30F71}"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algn="r"/>
              <a:t>22</a:t>
            </a:fld>
            <a:endParaRPr kumimoji="1" lang="en-US" altLang="ja-JP" sz="2000">
              <a:latin typeface="Arial" panose="020B0604020202020204" pitchFamily="34" charset="0"/>
              <a:ea typeface="Arial Unicode MS" panose="020B0604020202020204" pitchFamily="50" charset="-128"/>
              <a:cs typeface="Arial" panose="020B0604020202020204" pitchFamily="34" charset="0"/>
            </a:endParaRPr>
          </a:p>
        </xdr:txBody>
      </xdr:sp>
      <xdr:sp macro="" textlink="$D$193">
        <xdr:nvSpPr>
          <xdr:cNvPr id="29" name="テキスト ボックス 28"/>
          <xdr:cNvSpPr txBox="1"/>
        </xdr:nvSpPr>
        <xdr:spPr>
          <a:xfrm>
            <a:off x="18011113" y="38772565"/>
            <a:ext cx="1095153" cy="45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0A3FBB36-0011-4FBB-B5E5-EBB112831A5B}"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algn="r"/>
              <a:t>68</a:t>
            </a:fld>
            <a:endParaRPr kumimoji="1" lang="en-US" altLang="ja-JP" sz="2000">
              <a:latin typeface="Arial" panose="020B0604020202020204" pitchFamily="34" charset="0"/>
              <a:ea typeface="Arial Unicode MS" panose="020B0604020202020204" pitchFamily="50" charset="-128"/>
              <a:cs typeface="Arial" panose="020B0604020202020204" pitchFamily="34" charset="0"/>
            </a:endParaRPr>
          </a:p>
        </xdr:txBody>
      </xdr:sp>
      <xdr:sp macro="" textlink="$D$197">
        <xdr:nvSpPr>
          <xdr:cNvPr id="31" name="テキスト ボックス 30"/>
          <xdr:cNvSpPr txBox="1"/>
        </xdr:nvSpPr>
        <xdr:spPr>
          <a:xfrm>
            <a:off x="16249653" y="39754495"/>
            <a:ext cx="1101142" cy="29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9BC52213-8D4F-4452-A52D-F0A85CD4FF79}" type="TxLink">
              <a:rPr kumimoji="1" lang="en-US" altLang="en-US" sz="1600" b="0" i="0" u="none" strike="noStrike">
                <a:solidFill>
                  <a:srgbClr val="000000"/>
                </a:solidFill>
                <a:latin typeface="Arial"/>
                <a:ea typeface="ＭＳ Ｐゴシック"/>
                <a:cs typeface="Arial"/>
              </a:rPr>
              <a:pPr algn="r"/>
              <a:t>667</a:t>
            </a:fld>
            <a:endParaRPr kumimoji="1" lang="en-US" altLang="ja-JP" sz="2400">
              <a:latin typeface="Arial" panose="020B0604020202020204" pitchFamily="34" charset="0"/>
              <a:cs typeface="Arial" panose="020B0604020202020204" pitchFamily="34" charset="0"/>
            </a:endParaRPr>
          </a:p>
        </xdr:txBody>
      </xdr:sp>
      <xdr:sp macro="" textlink="$D$195">
        <xdr:nvSpPr>
          <xdr:cNvPr id="34" name="テキスト ボックス 33"/>
          <xdr:cNvSpPr txBox="1"/>
        </xdr:nvSpPr>
        <xdr:spPr>
          <a:xfrm>
            <a:off x="15022386" y="40138393"/>
            <a:ext cx="1005321" cy="315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893BE6C5-25EF-4EE3-9C16-99116EC13F74}" type="TxLink">
              <a:rPr kumimoji="1" lang="en-US" altLang="en-US" sz="1600" b="0" i="0" u="none" strike="noStrike">
                <a:solidFill>
                  <a:srgbClr val="000000"/>
                </a:solidFill>
                <a:latin typeface="Arial"/>
                <a:ea typeface="ＭＳ Ｐゴシック"/>
                <a:cs typeface="Arial"/>
              </a:rPr>
              <a:pPr algn="r"/>
              <a:t>505</a:t>
            </a:fld>
            <a:endParaRPr kumimoji="1" lang="en-US" altLang="ja-JP" sz="2400">
              <a:latin typeface="Arial" panose="020B0604020202020204" pitchFamily="34" charset="0"/>
              <a:cs typeface="Arial" panose="020B0604020202020204" pitchFamily="34" charset="0"/>
            </a:endParaRPr>
          </a:p>
        </xdr:txBody>
      </xdr:sp>
      <xdr:sp macro="" textlink="$D$196">
        <xdr:nvSpPr>
          <xdr:cNvPr id="35" name="テキスト ボックス 34"/>
          <xdr:cNvSpPr txBox="1"/>
        </xdr:nvSpPr>
        <xdr:spPr>
          <a:xfrm>
            <a:off x="18004891" y="40138394"/>
            <a:ext cx="1095153" cy="32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0801874-B3A7-4499-86E4-D2C9869D1D65}" type="TxLink">
              <a:rPr kumimoji="1" lang="en-US" altLang="en-US" sz="1600" b="0" i="0" u="none" strike="noStrike">
                <a:solidFill>
                  <a:srgbClr val="000000"/>
                </a:solidFill>
                <a:latin typeface="Arial"/>
                <a:ea typeface="ＭＳ Ｐゴシック"/>
                <a:cs typeface="Arial"/>
              </a:rPr>
              <a:pPr algn="r"/>
              <a:t>162</a:t>
            </a:fld>
            <a:endParaRPr kumimoji="1" lang="en-US" altLang="ja-JP" sz="2400">
              <a:latin typeface="Arial" panose="020B0604020202020204" pitchFamily="34" charset="0"/>
              <a:cs typeface="Arial" panose="020B0604020202020204" pitchFamily="34" charset="0"/>
            </a:endParaRPr>
          </a:p>
        </xdr:txBody>
      </xdr:sp>
      <xdr:sp macro="" textlink="$D$201">
        <xdr:nvSpPr>
          <xdr:cNvPr id="36" name="テキスト ボックス 35"/>
          <xdr:cNvSpPr txBox="1"/>
        </xdr:nvSpPr>
        <xdr:spPr>
          <a:xfrm>
            <a:off x="15061226" y="40732690"/>
            <a:ext cx="980617" cy="30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CA69A828-705F-4347-896C-76BC1A193D6F}" type="TxLink">
              <a:rPr kumimoji="1" lang="en-US" altLang="en-US" sz="1600" b="0" i="0" u="none" strike="noStrike">
                <a:solidFill>
                  <a:srgbClr val="000000"/>
                </a:solidFill>
                <a:latin typeface="Arial"/>
                <a:ea typeface="ＭＳ Ｐゴシック"/>
                <a:cs typeface="Arial"/>
              </a:rPr>
              <a:pPr algn="r"/>
              <a:t>424</a:t>
            </a:fld>
            <a:endParaRPr kumimoji="1" lang="en-US" altLang="ja-JP" sz="2400">
              <a:latin typeface="Arial" panose="020B0604020202020204" pitchFamily="34" charset="0"/>
              <a:cs typeface="Arial" panose="020B0604020202020204" pitchFamily="34" charset="0"/>
            </a:endParaRPr>
          </a:p>
        </xdr:txBody>
      </xdr:sp>
      <xdr:sp macro="" textlink="$D$199">
        <xdr:nvSpPr>
          <xdr:cNvPr id="37" name="テキスト ボックス 36"/>
          <xdr:cNvSpPr txBox="1"/>
        </xdr:nvSpPr>
        <xdr:spPr>
          <a:xfrm>
            <a:off x="15054221" y="41118426"/>
            <a:ext cx="983875" cy="325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4DF941C-53CD-43E3-94E2-3754CF4AF248}" type="TxLink">
              <a:rPr kumimoji="1" lang="en-US" altLang="en-US" sz="1600" b="0" i="0" u="none" strike="noStrike">
                <a:solidFill>
                  <a:srgbClr val="000000"/>
                </a:solidFill>
                <a:latin typeface="Arial"/>
                <a:ea typeface="ＭＳ Ｐゴシック"/>
                <a:cs typeface="Arial"/>
              </a:rPr>
              <a:pPr algn="r"/>
              <a:t>135</a:t>
            </a:fld>
            <a:endParaRPr kumimoji="1" lang="en-US" altLang="ja-JP" sz="2400">
              <a:latin typeface="Arial" panose="020B0604020202020204" pitchFamily="34" charset="0"/>
              <a:cs typeface="Arial" panose="020B0604020202020204" pitchFamily="34" charset="0"/>
            </a:endParaRPr>
          </a:p>
        </xdr:txBody>
      </xdr:sp>
      <xdr:sp macro="" textlink="$D$200">
        <xdr:nvSpPr>
          <xdr:cNvPr id="39" name="テキスト ボックス 38"/>
          <xdr:cNvSpPr txBox="1"/>
        </xdr:nvSpPr>
        <xdr:spPr>
          <a:xfrm>
            <a:off x="18009352" y="41138395"/>
            <a:ext cx="1095152" cy="322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140BDAA6-B4D2-4D6E-80B6-1D8EACCB4699}" type="TxLink">
              <a:rPr kumimoji="1" lang="en-US" altLang="en-US" sz="1600" b="0" i="0" u="none" strike="noStrike">
                <a:solidFill>
                  <a:srgbClr val="000000"/>
                </a:solidFill>
                <a:latin typeface="Arial"/>
                <a:ea typeface="ＭＳ Ｐゴシック"/>
                <a:cs typeface="Arial"/>
              </a:rPr>
              <a:pPr algn="r"/>
              <a:t>289</a:t>
            </a:fld>
            <a:endParaRPr kumimoji="1" lang="en-US" altLang="ja-JP" sz="2400">
              <a:latin typeface="Arial" panose="020B0604020202020204" pitchFamily="34" charset="0"/>
              <a:cs typeface="Arial" panose="020B0604020202020204" pitchFamily="34" charset="0"/>
            </a:endParaRPr>
          </a:p>
        </xdr:txBody>
      </xdr:sp>
    </xdr:grpSp>
    <xdr:clientData/>
  </xdr:twoCellAnchor>
  <xdr:twoCellAnchor>
    <xdr:from>
      <xdr:col>1</xdr:col>
      <xdr:colOff>994097</xdr:colOff>
      <xdr:row>165</xdr:row>
      <xdr:rowOff>196428</xdr:rowOff>
    </xdr:from>
    <xdr:to>
      <xdr:col>2</xdr:col>
      <xdr:colOff>366980</xdr:colOff>
      <xdr:row>179</xdr:row>
      <xdr:rowOff>53480</xdr:rowOff>
    </xdr:to>
    <xdr:grpSp>
      <xdr:nvGrpSpPr>
        <xdr:cNvPr id="7" name="グループ化 6"/>
        <xdr:cNvGrpSpPr/>
      </xdr:nvGrpSpPr>
      <xdr:grpSpPr>
        <a:xfrm>
          <a:off x="1205764" y="37301595"/>
          <a:ext cx="1288466" cy="3413052"/>
          <a:chOff x="1015793" y="38180477"/>
          <a:chExt cx="1399989" cy="3462453"/>
        </a:xfrm>
      </xdr:grpSpPr>
      <xdr:sp macro="" textlink="$Y$188">
        <xdr:nvSpPr>
          <xdr:cNvPr id="19" name="テキスト ボックス 18"/>
          <xdr:cNvSpPr txBox="1"/>
        </xdr:nvSpPr>
        <xdr:spPr>
          <a:xfrm>
            <a:off x="1015793" y="41171349"/>
            <a:ext cx="1268130" cy="471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fld id="{591E17EB-6A2E-4371-A806-BE59F8F36CF2}"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marL="0" indent="0" algn="r"/>
              <a:t>4,620</a:t>
            </a:fld>
            <a:endParaRPr kumimoji="1" lang="en-US" altLang="ja-JP"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endParaRPr>
          </a:p>
        </xdr:txBody>
      </xdr:sp>
      <xdr:sp macro="" textlink="$Y$186">
        <xdr:nvSpPr>
          <xdr:cNvPr id="40" name="テキスト ボックス 39"/>
          <xdr:cNvSpPr txBox="1"/>
        </xdr:nvSpPr>
        <xdr:spPr>
          <a:xfrm>
            <a:off x="1203033" y="38180477"/>
            <a:ext cx="1152676" cy="468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fld id="{A71BAF99-6F2A-47C9-9E74-ED00D10E1054}"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marL="0" indent="0" algn="r"/>
              <a:t>27,308</a:t>
            </a:fld>
            <a:endParaRPr kumimoji="1" lang="en-US" altLang="ja-JP"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endParaRPr>
          </a:p>
        </xdr:txBody>
      </xdr:sp>
      <xdr:sp macro="" textlink="$Y$187">
        <xdr:nvSpPr>
          <xdr:cNvPr id="41" name="テキスト ボックス 40"/>
          <xdr:cNvSpPr txBox="1"/>
        </xdr:nvSpPr>
        <xdr:spPr>
          <a:xfrm>
            <a:off x="1263106" y="39180230"/>
            <a:ext cx="1152676" cy="465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D4E214DD-263A-41AA-AB6A-642678C49CD1}"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algn="r"/>
              <a:t> </a:t>
            </a:fld>
            <a:endParaRPr kumimoji="1" lang="en-US" altLang="ja-JP" sz="2000">
              <a:latin typeface="Arial" panose="020B0604020202020204" pitchFamily="34" charset="0"/>
              <a:ea typeface="Arial Unicode MS" panose="020B0604020202020204" pitchFamily="50" charset="-128"/>
              <a:cs typeface="Arial" panose="020B0604020202020204" pitchFamily="34" charset="0"/>
            </a:endParaRPr>
          </a:p>
        </xdr:txBody>
      </xdr:sp>
    </xdr:grpSp>
    <xdr:clientData/>
  </xdr:twoCellAnchor>
  <xdr:twoCellAnchor>
    <xdr:from>
      <xdr:col>1</xdr:col>
      <xdr:colOff>0</xdr:colOff>
      <xdr:row>77</xdr:row>
      <xdr:rowOff>0</xdr:rowOff>
    </xdr:from>
    <xdr:to>
      <xdr:col>12</xdr:col>
      <xdr:colOff>11546</xdr:colOff>
      <xdr:row>104</xdr:row>
      <xdr:rowOff>12500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671287</xdr:colOff>
      <xdr:row>107</xdr:row>
      <xdr:rowOff>0</xdr:rowOff>
    </xdr:from>
    <xdr:to>
      <xdr:col>12</xdr:col>
      <xdr:colOff>34250</xdr:colOff>
      <xdr:row>124</xdr:row>
      <xdr:rowOff>31000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0.85147</cdr:x>
      <cdr:y>0.85273</cdr:y>
    </cdr:from>
    <cdr:to>
      <cdr:x>0.97766</cdr:x>
      <cdr:y>0.93579</cdr:y>
    </cdr:to>
    <cdr:sp macro="" textlink="">
      <cdr:nvSpPr>
        <cdr:cNvPr id="2" name="テキスト ボックス 1"/>
        <cdr:cNvSpPr txBox="1"/>
      </cdr:nvSpPr>
      <cdr:spPr>
        <a:xfrm xmlns:a="http://schemas.openxmlformats.org/drawingml/2006/main">
          <a:off x="6214908" y="3074209"/>
          <a:ext cx="921060" cy="299443"/>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ja-JP" altLang="en-US" sz="1050"/>
            <a:t>（百万円</a:t>
          </a:r>
          <a:r>
            <a:rPr lang="en-US" altLang="ja-JP" sz="1050"/>
            <a:t>/</a:t>
          </a:r>
          <a:r>
            <a:rPr lang="ja-JP" altLang="en-US" sz="1050"/>
            <a:t>年）</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0.25564</cdr:x>
      <cdr:y>0.1095</cdr:y>
    </cdr:to>
    <cdr:sp macro="" textlink="">
      <cdr:nvSpPr>
        <cdr:cNvPr id="2" name="テキスト ボックス 1"/>
        <cdr:cNvSpPr txBox="1"/>
      </cdr:nvSpPr>
      <cdr:spPr>
        <a:xfrm xmlns:a="http://schemas.openxmlformats.org/drawingml/2006/main">
          <a:off x="0" y="0"/>
          <a:ext cx="981364" cy="288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（百万円）</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0.55446</cdr:x>
      <cdr:y>0.09594</cdr:y>
    </cdr:to>
    <cdr:sp macro="" textlink="">
      <cdr:nvSpPr>
        <cdr:cNvPr id="2" name="テキスト ボックス 1"/>
        <cdr:cNvSpPr txBox="1"/>
      </cdr:nvSpPr>
      <cdr:spPr>
        <a:xfrm xmlns:a="http://schemas.openxmlformats.org/drawingml/2006/main">
          <a:off x="0" y="0"/>
          <a:ext cx="969818"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r>
            <a:rPr lang="en-US" altLang="ja-JP" sz="1100"/>
            <a:t>t-CO2</a:t>
          </a:r>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0.25564</cdr:x>
      <cdr:y>0.1095</cdr:y>
    </cdr:to>
    <cdr:sp macro="" textlink="">
      <cdr:nvSpPr>
        <cdr:cNvPr id="2" name="テキスト ボックス 1"/>
        <cdr:cNvSpPr txBox="1"/>
      </cdr:nvSpPr>
      <cdr:spPr>
        <a:xfrm xmlns:a="http://schemas.openxmlformats.org/drawingml/2006/main">
          <a:off x="0" y="0"/>
          <a:ext cx="981364" cy="288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（百万円）</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0.25564</cdr:x>
      <cdr:y>0.1095</cdr:y>
    </cdr:to>
    <cdr:sp macro="" textlink="">
      <cdr:nvSpPr>
        <cdr:cNvPr id="2" name="テキスト ボックス 1"/>
        <cdr:cNvSpPr txBox="1"/>
      </cdr:nvSpPr>
      <cdr:spPr>
        <a:xfrm xmlns:a="http://schemas.openxmlformats.org/drawingml/2006/main">
          <a:off x="0" y="0"/>
          <a:ext cx="981364" cy="288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400"/>
            <a:t>（百万円）</a:t>
          </a:r>
        </a:p>
      </cdr:txBody>
    </cdr:sp>
  </cdr:relSizeAnchor>
</c:userShapes>
</file>

<file path=xl/drawings/drawing9.xml><?xml version="1.0" encoding="utf-8"?>
<c:userShapes xmlns:c="http://schemas.openxmlformats.org/drawingml/2006/chart">
  <cdr:relSizeAnchor xmlns:cdr="http://schemas.openxmlformats.org/drawingml/2006/chartDrawing">
    <cdr:from>
      <cdr:x>0.06875</cdr:x>
      <cdr:y>0.0352</cdr:y>
    </cdr:from>
    <cdr:to>
      <cdr:x>0.18519</cdr:x>
      <cdr:y>0.10121</cdr:y>
    </cdr:to>
    <cdr:sp macro="" textlink="">
      <cdr:nvSpPr>
        <cdr:cNvPr id="2" name="テキスト ボックス 1"/>
        <cdr:cNvSpPr txBox="1"/>
      </cdr:nvSpPr>
      <cdr:spPr>
        <a:xfrm xmlns:a="http://schemas.openxmlformats.org/drawingml/2006/main">
          <a:off x="696950" y="146778"/>
          <a:ext cx="1180442" cy="2752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t>（百万円）</a:t>
          </a:r>
        </a:p>
      </cdr:txBody>
    </cdr:sp>
  </cdr:relSizeAnchor>
</c:userShapes>
</file>

<file path=xl/drawings/drawing10.xml><?xml version="1.0" encoding="utf-8"?>
<c:userShapes xmlns:c="http://schemas.openxmlformats.org/drawingml/2006/chart">
  <cdr:relSizeAnchor xmlns:cdr="http://schemas.openxmlformats.org/drawingml/2006/chartDrawing">
    <cdr:from>
      <cdr:x>0.06875</cdr:x>
      <cdr:y>0.0352</cdr:y>
    </cdr:from>
    <cdr:to>
      <cdr:x>0.20687</cdr:x>
      <cdr:y>0.10121</cdr:y>
    </cdr:to>
    <cdr:sp macro="" textlink="">
      <cdr:nvSpPr>
        <cdr:cNvPr id="2" name="テキスト ボックス 1"/>
        <cdr:cNvSpPr txBox="1"/>
      </cdr:nvSpPr>
      <cdr:spPr>
        <a:xfrm xmlns:a="http://schemas.openxmlformats.org/drawingml/2006/main">
          <a:off x="695495" y="146778"/>
          <a:ext cx="1397244" cy="2752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t>（百万円）</a:t>
          </a:r>
        </a:p>
      </cdr:txBody>
    </cdr:sp>
  </cdr:relSizeAnchor>
</c:userShapes>
</file>

<file path=xl/drawings/drawing11.xml><?xml version="1.0" encoding="utf-8"?>
<c:userShapes xmlns:c="http://schemas.openxmlformats.org/drawingml/2006/chart">
  <cdr:relSizeAnchor xmlns:cdr="http://schemas.openxmlformats.org/drawingml/2006/chartDrawing">
    <cdr:from>
      <cdr:x>0.00361</cdr:x>
      <cdr:y>0.11546</cdr:y>
    </cdr:from>
    <cdr:to>
      <cdr:x>0.16972</cdr:x>
      <cdr:y>0.20604</cdr:y>
    </cdr:to>
    <cdr:sp macro="" textlink="">
      <cdr:nvSpPr>
        <cdr:cNvPr id="2" name="テキスト ボックス 1"/>
        <cdr:cNvSpPr txBox="1"/>
      </cdr:nvSpPr>
      <cdr:spPr>
        <a:xfrm xmlns:a="http://schemas.openxmlformats.org/drawingml/2006/main">
          <a:off x="34636" y="521827"/>
          <a:ext cx="1595622" cy="409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50"/>
            <a:t>（百万円）</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129540</xdr:colOff>
      <xdr:row>8</xdr:row>
      <xdr:rowOff>97971</xdr:rowOff>
    </xdr:from>
    <xdr:to>
      <xdr:col>2</xdr:col>
      <xdr:colOff>598629</xdr:colOff>
      <xdr:row>10</xdr:row>
      <xdr:rowOff>86692</xdr:rowOff>
    </xdr:to>
    <xdr:grpSp>
      <xdr:nvGrpSpPr>
        <xdr:cNvPr id="7" name="グループ化 6"/>
        <xdr:cNvGrpSpPr/>
      </xdr:nvGrpSpPr>
      <xdr:grpSpPr>
        <a:xfrm>
          <a:off x="3460750" y="1399721"/>
          <a:ext cx="0" cy="280821"/>
          <a:chOff x="3322320" y="1271451"/>
          <a:chExt cx="469089" cy="659281"/>
        </a:xfrm>
      </xdr:grpSpPr>
      <xdr:cxnSp macro="">
        <xdr:nvCxnSpPr>
          <xdr:cNvPr id="3" name="直線矢印コネクタ 2"/>
          <xdr:cNvCxnSpPr/>
        </xdr:nvCxnSpPr>
        <xdr:spPr>
          <a:xfrm>
            <a:off x="3323409" y="1271451"/>
            <a:ext cx="468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カギ線コネクタ 4"/>
          <xdr:cNvCxnSpPr/>
        </xdr:nvCxnSpPr>
        <xdr:spPr>
          <a:xfrm>
            <a:off x="3322320" y="1271452"/>
            <a:ext cx="468000" cy="162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8"/>
          <xdr:cNvCxnSpPr/>
        </xdr:nvCxnSpPr>
        <xdr:spPr>
          <a:xfrm>
            <a:off x="3322320" y="1271452"/>
            <a:ext cx="468000" cy="65928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9"/>
          <xdr:cNvCxnSpPr/>
        </xdr:nvCxnSpPr>
        <xdr:spPr>
          <a:xfrm>
            <a:off x="3322320" y="1271452"/>
            <a:ext cx="468000" cy="324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カギ線コネクタ 10"/>
          <xdr:cNvCxnSpPr/>
        </xdr:nvCxnSpPr>
        <xdr:spPr>
          <a:xfrm>
            <a:off x="3322320" y="1271452"/>
            <a:ext cx="468000" cy="486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129540</xdr:colOff>
      <xdr:row>12</xdr:row>
      <xdr:rowOff>75111</xdr:rowOff>
    </xdr:from>
    <xdr:to>
      <xdr:col>2</xdr:col>
      <xdr:colOff>598629</xdr:colOff>
      <xdr:row>15</xdr:row>
      <xdr:rowOff>63832</xdr:rowOff>
    </xdr:to>
    <xdr:grpSp>
      <xdr:nvGrpSpPr>
        <xdr:cNvPr id="13" name="グループ化 12"/>
        <xdr:cNvGrpSpPr/>
      </xdr:nvGrpSpPr>
      <xdr:grpSpPr>
        <a:xfrm>
          <a:off x="3460750" y="1961061"/>
          <a:ext cx="0" cy="426871"/>
          <a:chOff x="3322320" y="1271451"/>
          <a:chExt cx="469089" cy="659281"/>
        </a:xfrm>
      </xdr:grpSpPr>
      <xdr:cxnSp macro="">
        <xdr:nvCxnSpPr>
          <xdr:cNvPr id="14" name="直線矢印コネクタ 13"/>
          <xdr:cNvCxnSpPr/>
        </xdr:nvCxnSpPr>
        <xdr:spPr>
          <a:xfrm>
            <a:off x="3323409" y="1271451"/>
            <a:ext cx="468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カギ線コネクタ 14"/>
          <xdr:cNvCxnSpPr/>
        </xdr:nvCxnSpPr>
        <xdr:spPr>
          <a:xfrm>
            <a:off x="3322320" y="1271452"/>
            <a:ext cx="468000" cy="162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カギ線コネクタ 15"/>
          <xdr:cNvCxnSpPr/>
        </xdr:nvCxnSpPr>
        <xdr:spPr>
          <a:xfrm>
            <a:off x="3322320" y="1271452"/>
            <a:ext cx="468000" cy="65928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カギ線コネクタ 16"/>
          <xdr:cNvCxnSpPr/>
        </xdr:nvCxnSpPr>
        <xdr:spPr>
          <a:xfrm>
            <a:off x="3322320" y="1271452"/>
            <a:ext cx="468000" cy="324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カギ線コネクタ 17"/>
          <xdr:cNvCxnSpPr/>
        </xdr:nvCxnSpPr>
        <xdr:spPr>
          <a:xfrm>
            <a:off x="3322320" y="1271452"/>
            <a:ext cx="468000" cy="486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129540</xdr:colOff>
      <xdr:row>16</xdr:row>
      <xdr:rowOff>59871</xdr:rowOff>
    </xdr:from>
    <xdr:to>
      <xdr:col>2</xdr:col>
      <xdr:colOff>598629</xdr:colOff>
      <xdr:row>19</xdr:row>
      <xdr:rowOff>48592</xdr:rowOff>
    </xdr:to>
    <xdr:grpSp>
      <xdr:nvGrpSpPr>
        <xdr:cNvPr id="19" name="グループ化 18"/>
        <xdr:cNvGrpSpPr/>
      </xdr:nvGrpSpPr>
      <xdr:grpSpPr>
        <a:xfrm>
          <a:off x="3460750" y="2530021"/>
          <a:ext cx="0" cy="426871"/>
          <a:chOff x="3322320" y="1271451"/>
          <a:chExt cx="469089" cy="659281"/>
        </a:xfrm>
      </xdr:grpSpPr>
      <xdr:cxnSp macro="">
        <xdr:nvCxnSpPr>
          <xdr:cNvPr id="20" name="直線矢印コネクタ 19"/>
          <xdr:cNvCxnSpPr/>
        </xdr:nvCxnSpPr>
        <xdr:spPr>
          <a:xfrm>
            <a:off x="3323409" y="1271451"/>
            <a:ext cx="468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xdr:cNvCxnSpPr/>
        </xdr:nvCxnSpPr>
        <xdr:spPr>
          <a:xfrm>
            <a:off x="3322320" y="1271452"/>
            <a:ext cx="468000" cy="162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カギ線コネクタ 21"/>
          <xdr:cNvCxnSpPr/>
        </xdr:nvCxnSpPr>
        <xdr:spPr>
          <a:xfrm>
            <a:off x="3322320" y="1271452"/>
            <a:ext cx="468000" cy="65928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22"/>
          <xdr:cNvCxnSpPr/>
        </xdr:nvCxnSpPr>
        <xdr:spPr>
          <a:xfrm>
            <a:off x="3322320" y="1271452"/>
            <a:ext cx="468000" cy="324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カギ線コネクタ 23"/>
          <xdr:cNvCxnSpPr/>
        </xdr:nvCxnSpPr>
        <xdr:spPr>
          <a:xfrm>
            <a:off x="3322320" y="1271452"/>
            <a:ext cx="468000" cy="486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id="1" name="テーブル1" displayName="テーブル1" ref="A1:D4" totalsRowShown="0">
  <autoFilter ref="A1:D4"/>
  <tableColumns count="4">
    <tableColumn id="1" name="バージョン"/>
    <tableColumn id="2" name="内容"/>
    <tableColumn id="3" name="関連出力シート"/>
    <tableColumn id="6" name="関連出力セル"/>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oumu.go.jp/main_content/000758659.pdf" TargetMode="External"/><Relationship Id="rId2" Type="http://schemas.openxmlformats.org/officeDocument/2006/relationships/hyperlink" Target="https://www.pref.kyoto.jp/zeimu/documents/zeirituhyou.pdf" TargetMode="External"/><Relationship Id="rId1" Type="http://schemas.openxmlformats.org/officeDocument/2006/relationships/hyperlink" Target="https://www.soumu.go.jp/main_sosiki/jichi_zeisei/czaisei/czaisei_seido/pdf/ichiran06_h31/ichiran06_h31_00.pdf" TargetMode="External"/><Relationship Id="rId5" Type="http://schemas.openxmlformats.org/officeDocument/2006/relationships/printerSettings" Target="../printerSettings/printerSettings12.bin"/><Relationship Id="rId4" Type="http://schemas.openxmlformats.org/officeDocument/2006/relationships/hyperlink" Target="https://www.soumu.go.jp/main_sosiki/jichi_zeisei/czaisei/czaisei_seido/149767_0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tabSelected="1" workbookViewId="0">
      <selection activeCell="G68" sqref="G68"/>
    </sheetView>
  </sheetViews>
  <sheetFormatPr defaultColWidth="8.7265625" defaultRowHeight="13" x14ac:dyDescent="0.2"/>
  <cols>
    <col min="1" max="19" width="8.7265625" style="562"/>
    <col min="20" max="20" width="29" style="562" customWidth="1"/>
    <col min="21" max="16384" width="8.7265625" style="562"/>
  </cols>
  <sheetData>
    <row r="1" spans="1:20" s="1119" customFormat="1" ht="28" x14ac:dyDescent="0.2">
      <c r="A1" s="1119" t="s">
        <v>1140</v>
      </c>
    </row>
    <row r="2" spans="1:20" s="1117" customFormat="1" ht="22.5" customHeight="1" x14ac:dyDescent="0.2">
      <c r="A2" s="1118" t="s">
        <v>887</v>
      </c>
      <c r="B2" s="1118"/>
      <c r="C2" s="1118"/>
      <c r="D2" s="1118"/>
      <c r="E2" s="1118"/>
      <c r="F2" s="1118"/>
      <c r="G2" s="1118"/>
      <c r="H2" s="1118"/>
      <c r="I2" s="1118"/>
      <c r="J2" s="1118"/>
      <c r="K2" s="1118"/>
      <c r="L2" s="1118"/>
      <c r="M2" s="1118"/>
      <c r="N2" s="1118"/>
      <c r="O2" s="1118"/>
      <c r="P2" s="1118"/>
      <c r="Q2" s="1118"/>
      <c r="R2" s="1118"/>
      <c r="S2" s="1118"/>
      <c r="T2" s="1118"/>
    </row>
    <row r="3" spans="1:20" x14ac:dyDescent="0.2">
      <c r="A3" s="562" t="s">
        <v>928</v>
      </c>
    </row>
    <row r="4" spans="1:20" x14ac:dyDescent="0.2">
      <c r="A4" s="562" t="s">
        <v>926</v>
      </c>
    </row>
    <row r="5" spans="1:20" x14ac:dyDescent="0.2">
      <c r="A5" s="562" t="s">
        <v>929</v>
      </c>
    </row>
    <row r="6" spans="1:20" x14ac:dyDescent="0.2">
      <c r="A6" s="562" t="s">
        <v>927</v>
      </c>
    </row>
    <row r="7" spans="1:20" s="1117" customFormat="1" ht="26.5" customHeight="1" x14ac:dyDescent="0.2">
      <c r="A7" s="1118" t="s">
        <v>843</v>
      </c>
      <c r="B7" s="1118"/>
      <c r="C7" s="1118"/>
      <c r="D7" s="1118"/>
      <c r="E7" s="1118"/>
      <c r="F7" s="1118"/>
      <c r="G7" s="1118"/>
      <c r="H7" s="1118"/>
      <c r="I7" s="1118"/>
      <c r="J7" s="1118"/>
      <c r="K7" s="1118"/>
      <c r="L7" s="1118"/>
      <c r="M7" s="1118"/>
      <c r="N7" s="1118"/>
      <c r="O7" s="1118"/>
      <c r="P7" s="1118"/>
      <c r="Q7" s="1118"/>
      <c r="R7" s="1118"/>
      <c r="S7" s="1118"/>
      <c r="T7" s="1118"/>
    </row>
    <row r="8" spans="1:20" x14ac:dyDescent="0.2">
      <c r="A8" s="1121" t="s">
        <v>946</v>
      </c>
    </row>
    <row r="9" spans="1:20" x14ac:dyDescent="0.2">
      <c r="A9" s="1121" t="s">
        <v>947</v>
      </c>
    </row>
    <row r="10" spans="1:20" x14ac:dyDescent="0.2">
      <c r="A10" s="562" t="s">
        <v>1141</v>
      </c>
    </row>
    <row r="12" spans="1:20" x14ac:dyDescent="0.2">
      <c r="A12" s="1123" t="s">
        <v>948</v>
      </c>
    </row>
    <row r="13" spans="1:20" x14ac:dyDescent="0.2">
      <c r="A13" s="1123" t="s">
        <v>949</v>
      </c>
    </row>
    <row r="14" spans="1:20" x14ac:dyDescent="0.2">
      <c r="A14" s="1123" t="s">
        <v>950</v>
      </c>
    </row>
    <row r="15" spans="1:20" x14ac:dyDescent="0.2">
      <c r="A15" s="1123" t="s">
        <v>951</v>
      </c>
    </row>
    <row r="16" spans="1:20" x14ac:dyDescent="0.2">
      <c r="A16" s="1123" t="s">
        <v>1142</v>
      </c>
    </row>
    <row r="17" spans="1:9" x14ac:dyDescent="0.2">
      <c r="A17" s="1123" t="s">
        <v>952</v>
      </c>
    </row>
    <row r="18" spans="1:9" x14ac:dyDescent="0.2">
      <c r="A18" s="1123" t="s">
        <v>953</v>
      </c>
    </row>
    <row r="19" spans="1:9" x14ac:dyDescent="0.2">
      <c r="A19" s="1123" t="s">
        <v>954</v>
      </c>
    </row>
    <row r="20" spans="1:9" x14ac:dyDescent="0.2">
      <c r="A20" s="1123" t="s">
        <v>955</v>
      </c>
    </row>
    <row r="21" spans="1:9" x14ac:dyDescent="0.2">
      <c r="A21" s="1123" t="s">
        <v>956</v>
      </c>
    </row>
    <row r="22" spans="1:9" x14ac:dyDescent="0.2">
      <c r="A22" s="1123" t="s">
        <v>957</v>
      </c>
    </row>
    <row r="23" spans="1:9" x14ac:dyDescent="0.2">
      <c r="A23" s="1123" t="s">
        <v>958</v>
      </c>
    </row>
    <row r="24" spans="1:9" x14ac:dyDescent="0.2">
      <c r="A24" s="1205" t="s">
        <v>959</v>
      </c>
    </row>
    <row r="26" spans="1:9" x14ac:dyDescent="0.2">
      <c r="A26" s="562" t="s">
        <v>889</v>
      </c>
      <c r="I26" s="1120" t="s">
        <v>886</v>
      </c>
    </row>
    <row r="48" spans="1:20" s="1117" customFormat="1" ht="26.5" customHeight="1" x14ac:dyDescent="0.2">
      <c r="A48" s="1118" t="s">
        <v>888</v>
      </c>
      <c r="B48" s="1118"/>
      <c r="C48" s="1118"/>
      <c r="D48" s="1118"/>
      <c r="E48" s="1118"/>
      <c r="F48" s="1118"/>
      <c r="G48" s="1118"/>
      <c r="H48" s="1118"/>
      <c r="I48" s="1118"/>
      <c r="J48" s="1118"/>
      <c r="K48" s="1118"/>
      <c r="L48" s="1118"/>
      <c r="M48" s="1118"/>
      <c r="N48" s="1118"/>
      <c r="O48" s="1118"/>
      <c r="P48" s="1118"/>
      <c r="Q48" s="1118"/>
      <c r="R48" s="1118"/>
      <c r="S48" s="1118"/>
      <c r="T48" s="1118"/>
    </row>
    <row r="49" spans="1:11" x14ac:dyDescent="0.2">
      <c r="A49" s="562" t="s">
        <v>902</v>
      </c>
    </row>
    <row r="50" spans="1:11" x14ac:dyDescent="0.2">
      <c r="A50" s="562" t="s">
        <v>890</v>
      </c>
    </row>
    <row r="51" spans="1:11" x14ac:dyDescent="0.2">
      <c r="A51" s="1123" t="s">
        <v>891</v>
      </c>
    </row>
    <row r="53" spans="1:11" ht="12.65" customHeight="1" x14ac:dyDescent="0.2">
      <c r="A53" s="562" t="s">
        <v>903</v>
      </c>
    </row>
    <row r="54" spans="1:11" ht="12.65" customHeight="1" x14ac:dyDescent="0.2">
      <c r="A54" s="1123" t="s">
        <v>960</v>
      </c>
    </row>
    <row r="56" spans="1:11" x14ac:dyDescent="0.2">
      <c r="A56" s="1120" t="s">
        <v>892</v>
      </c>
    </row>
    <row r="57" spans="1:11" x14ac:dyDescent="0.2">
      <c r="A57" s="562" t="s">
        <v>893</v>
      </c>
      <c r="D57" s="1121" t="s">
        <v>898</v>
      </c>
    </row>
    <row r="58" spans="1:11" x14ac:dyDescent="0.2">
      <c r="A58" s="562" t="s">
        <v>896</v>
      </c>
      <c r="D58" s="562" t="s">
        <v>899</v>
      </c>
    </row>
    <row r="59" spans="1:11" x14ac:dyDescent="0.2">
      <c r="A59" s="562" t="s">
        <v>894</v>
      </c>
      <c r="D59" s="562" t="s">
        <v>925</v>
      </c>
    </row>
    <row r="60" spans="1:11" x14ac:dyDescent="0.2">
      <c r="D60" s="562" t="s">
        <v>900</v>
      </c>
    </row>
    <row r="61" spans="1:11" x14ac:dyDescent="0.2">
      <c r="A61" s="562" t="s">
        <v>895</v>
      </c>
      <c r="D61" s="562" t="s">
        <v>925</v>
      </c>
    </row>
    <row r="62" spans="1:11" x14ac:dyDescent="0.2">
      <c r="D62" s="562" t="s">
        <v>900</v>
      </c>
    </row>
    <row r="64" spans="1:11" x14ac:dyDescent="0.2">
      <c r="A64" s="1121" t="s">
        <v>901</v>
      </c>
      <c r="B64" s="1121"/>
      <c r="C64" s="1121"/>
      <c r="D64" s="1121"/>
      <c r="E64" s="1121"/>
      <c r="F64" s="1121"/>
      <c r="G64" s="1121"/>
      <c r="H64" s="1121"/>
      <c r="I64" s="1121"/>
      <c r="J64" s="1121"/>
      <c r="K64" s="1121"/>
    </row>
    <row r="65" spans="1:1" x14ac:dyDescent="0.2">
      <c r="A65" s="562" t="s">
        <v>933</v>
      </c>
    </row>
    <row r="84" spans="1:1" ht="19" x14ac:dyDescent="0.2">
      <c r="A84" s="1117"/>
    </row>
  </sheetData>
  <sheetProtection password="B437" sheet="1" objects="1" scenarios="1"/>
  <phoneticPr fontId="4"/>
  <pageMargins left="0.7" right="0.7" top="0.75" bottom="0.75" header="0.3" footer="0.3"/>
  <pageSetup paperSize="8"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heetViews>
  <sheetFormatPr defaultColWidth="8.7265625" defaultRowHeight="13" x14ac:dyDescent="0.2"/>
  <cols>
    <col min="1" max="1" width="2.453125" style="562" customWidth="1"/>
    <col min="2" max="13" width="8.7265625" style="562"/>
    <col min="14" max="14" width="8.7265625" style="562" customWidth="1"/>
    <col min="15" max="16384" width="8.7265625" style="562"/>
  </cols>
  <sheetData>
    <row r="1" spans="1:27" ht="28" x14ac:dyDescent="0.2">
      <c r="A1" s="1116"/>
      <c r="B1" s="1065" t="s">
        <v>879</v>
      </c>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row>
    <row r="3" spans="1:27" x14ac:dyDescent="0.2">
      <c r="B3" s="562" t="s">
        <v>904</v>
      </c>
    </row>
    <row r="4" spans="1:27" x14ac:dyDescent="0.2">
      <c r="B4" s="1124"/>
      <c r="C4" s="562" t="s">
        <v>930</v>
      </c>
    </row>
    <row r="5" spans="1:27" x14ac:dyDescent="0.2">
      <c r="B5" s="567"/>
      <c r="C5" s="562" t="s">
        <v>931</v>
      </c>
    </row>
    <row r="6" spans="1:27" x14ac:dyDescent="0.2">
      <c r="B6" s="824"/>
      <c r="C6" s="562" t="s">
        <v>932</v>
      </c>
    </row>
    <row r="7" spans="1:27" x14ac:dyDescent="0.2">
      <c r="B7" s="562" t="s">
        <v>880</v>
      </c>
    </row>
    <row r="8" spans="1:27" x14ac:dyDescent="0.2">
      <c r="B8" s="562" t="s">
        <v>881</v>
      </c>
    </row>
    <row r="9" spans="1:27" x14ac:dyDescent="0.2">
      <c r="B9" s="562" t="s">
        <v>882</v>
      </c>
    </row>
    <row r="13" spans="1:27" x14ac:dyDescent="0.2">
      <c r="B13" s="1114" t="s">
        <v>884</v>
      </c>
    </row>
    <row r="25" spans="2:2" x14ac:dyDescent="0.2">
      <c r="B25" s="1114" t="s">
        <v>885</v>
      </c>
    </row>
  </sheetData>
  <sheetProtection password="B437" sheet="1" objects="1" scenarios="1"/>
  <phoneticPr fontId="4"/>
  <pageMargins left="0.7" right="0.7" top="0.75" bottom="0.75" header="0.3" footer="0.3"/>
  <pageSetup paperSize="8"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A1:AO243"/>
  <sheetViews>
    <sheetView view="pageBreakPreview" topLeftCell="F213" zoomScale="60" zoomScaleNormal="55" workbookViewId="0">
      <selection activeCell="J228" sqref="J228:J229"/>
    </sheetView>
  </sheetViews>
  <sheetFormatPr defaultColWidth="9" defaultRowHeight="13" x14ac:dyDescent="0.2"/>
  <cols>
    <col min="1" max="1" width="3.08984375" style="2" customWidth="1"/>
    <col min="2" max="2" width="27.36328125" style="2" customWidth="1"/>
    <col min="3" max="3" width="18.453125" style="2" customWidth="1"/>
    <col min="4" max="4" width="23.36328125" style="2" customWidth="1"/>
    <col min="5" max="5" width="18.90625" style="2" customWidth="1"/>
    <col min="6" max="6" width="12.453125" style="2" customWidth="1"/>
    <col min="7" max="7" width="25.36328125" style="2" customWidth="1"/>
    <col min="8" max="8" width="11.08984375" style="2" customWidth="1"/>
    <col min="9" max="9" width="18.90625" style="2" customWidth="1"/>
    <col min="10" max="11" width="12.26953125" style="2" customWidth="1"/>
    <col min="12" max="12" width="12.36328125" style="2" customWidth="1"/>
    <col min="13" max="13" width="7.08984375" customWidth="1"/>
    <col min="14" max="14" width="12.90625" customWidth="1"/>
    <col min="15" max="15" width="9" customWidth="1"/>
    <col min="21" max="21" width="26.54296875" customWidth="1"/>
    <col min="22" max="22" width="4.90625" customWidth="1"/>
    <col min="23" max="23" width="15.08984375" style="609" hidden="1" customWidth="1"/>
    <col min="24" max="24" width="9" style="1154" hidden="1" customWidth="1"/>
    <col min="25" max="25" width="13.08984375" style="1154" hidden="1" customWidth="1"/>
    <col min="26" max="26" width="9.08984375" style="1154" hidden="1" customWidth="1"/>
    <col min="27" max="27" width="13.90625" style="1132" hidden="1" customWidth="1"/>
    <col min="28" max="28" width="13.08984375" style="1154" hidden="1" customWidth="1"/>
    <col min="29" max="29" width="9" style="1154" hidden="1" customWidth="1"/>
    <col min="30" max="30" width="10.7265625" style="1154" hidden="1" customWidth="1"/>
    <col min="31" max="31" width="9.08984375" style="1154" hidden="1" customWidth="1"/>
    <col min="32" max="36" width="21.26953125" style="1132" hidden="1" customWidth="1"/>
    <col min="37" max="37" width="14.90625" style="1132" hidden="1" customWidth="1"/>
    <col min="38" max="38" width="9" style="1132" hidden="1" customWidth="1"/>
    <col min="39" max="41" width="9" style="2" hidden="1" customWidth="1"/>
    <col min="42" max="43" width="0" style="2" hidden="1" customWidth="1"/>
    <col min="44" max="16384" width="9" style="2"/>
  </cols>
  <sheetData>
    <row r="1" spans="1:39" s="899" customFormat="1" ht="33" customHeight="1" x14ac:dyDescent="0.2">
      <c r="A1" s="1065"/>
      <c r="B1" s="1065" t="s">
        <v>937</v>
      </c>
      <c r="C1" s="1065"/>
      <c r="D1" s="1065"/>
      <c r="E1" s="1065"/>
      <c r="F1" s="1065"/>
      <c r="G1" s="1065"/>
      <c r="H1" s="1066"/>
      <c r="I1" s="1066"/>
      <c r="J1" s="1066"/>
      <c r="K1" s="1066"/>
      <c r="L1" s="1066"/>
      <c r="M1" s="1066"/>
      <c r="N1" s="1066"/>
      <c r="O1" s="1066"/>
      <c r="P1" s="1066"/>
      <c r="Q1" s="1066"/>
      <c r="R1" s="1066"/>
      <c r="S1" s="1066"/>
      <c r="T1" s="1066"/>
      <c r="U1" s="1066"/>
      <c r="V1" s="1066"/>
      <c r="W1" s="901"/>
      <c r="X1" s="1125"/>
      <c r="Y1" s="1125"/>
      <c r="Z1" s="1126"/>
      <c r="AA1" s="1126"/>
      <c r="AB1" s="1126"/>
      <c r="AC1" s="1127"/>
      <c r="AD1" s="1125"/>
      <c r="AE1" s="1125"/>
      <c r="AF1" s="1125"/>
      <c r="AG1" s="1125"/>
      <c r="AH1" s="1126"/>
      <c r="AI1" s="1126"/>
      <c r="AJ1" s="1126"/>
      <c r="AK1" s="1126"/>
      <c r="AL1" s="1126"/>
    </row>
    <row r="2" spans="1:39" s="114" customFormat="1" ht="23.15" customHeight="1" thickBot="1" x14ac:dyDescent="0.35">
      <c r="A2" s="1067"/>
      <c r="B2" s="1067"/>
      <c r="C2" s="1068"/>
      <c r="D2" s="1069"/>
      <c r="E2" s="1068"/>
      <c r="F2" s="1069"/>
      <c r="G2" s="1069"/>
      <c r="H2" s="1070"/>
      <c r="I2" s="1070"/>
      <c r="J2" s="1070"/>
      <c r="K2" s="1070"/>
      <c r="L2" s="1070"/>
      <c r="M2" s="1070"/>
      <c r="N2" s="1070"/>
      <c r="O2" s="845"/>
      <c r="P2" s="845"/>
      <c r="Q2" s="845"/>
      <c r="R2" s="845"/>
      <c r="S2" s="845"/>
      <c r="T2" s="845"/>
      <c r="U2" s="845"/>
      <c r="V2" s="845"/>
      <c r="W2" s="1197"/>
      <c r="X2" s="1128"/>
      <c r="Y2" s="1128"/>
      <c r="Z2" s="1128"/>
      <c r="AA2" s="1128"/>
      <c r="AB2" s="1128"/>
      <c r="AC2" s="1129"/>
      <c r="AD2" s="1128"/>
      <c r="AE2" s="1128"/>
      <c r="AF2" s="1128"/>
      <c r="AG2" s="1128"/>
      <c r="AH2" s="1129"/>
      <c r="AI2" s="1129"/>
      <c r="AJ2" s="1129"/>
      <c r="AK2" s="1129"/>
      <c r="AL2" s="1129"/>
    </row>
    <row r="3" spans="1:39" s="1" customFormat="1" ht="21" x14ac:dyDescent="0.25">
      <c r="A3" s="804"/>
      <c r="B3" s="1106" t="s">
        <v>883</v>
      </c>
      <c r="C3" s="1107"/>
      <c r="D3" s="1108"/>
      <c r="E3" s="1107"/>
      <c r="F3" s="1109"/>
      <c r="G3" s="1187"/>
      <c r="H3" s="817" t="s">
        <v>592</v>
      </c>
      <c r="I3" s="817"/>
      <c r="J3" s="818"/>
      <c r="K3" s="819"/>
      <c r="L3" s="818"/>
      <c r="M3" s="819"/>
      <c r="N3" s="820"/>
      <c r="O3" s="820"/>
      <c r="P3" s="820"/>
      <c r="Q3" s="820"/>
      <c r="R3" s="820"/>
      <c r="S3" s="820"/>
      <c r="T3" s="820"/>
      <c r="U3" s="820"/>
      <c r="V3" s="803"/>
      <c r="X3" s="1130"/>
      <c r="Y3" s="1130"/>
      <c r="Z3" s="1130"/>
      <c r="AA3" s="1130"/>
      <c r="AB3" s="1130"/>
      <c r="AC3" s="1131"/>
      <c r="AD3" s="1130"/>
      <c r="AE3" s="1130"/>
      <c r="AF3" s="1132"/>
      <c r="AG3" s="1132"/>
      <c r="AH3" s="1132"/>
      <c r="AI3" s="1132"/>
      <c r="AJ3" s="1132"/>
      <c r="AK3" s="1133"/>
      <c r="AL3" s="1134"/>
      <c r="AM3" s="635"/>
    </row>
    <row r="4" spans="1:39" s="1" customFormat="1" ht="18" x14ac:dyDescent="0.35">
      <c r="A4" s="804"/>
      <c r="B4" s="1110" t="s">
        <v>578</v>
      </c>
      <c r="C4" s="1111" t="s">
        <v>579</v>
      </c>
      <c r="D4" s="1112"/>
      <c r="E4" s="1111" t="s">
        <v>580</v>
      </c>
      <c r="F4" s="1113"/>
      <c r="G4" s="1188"/>
      <c r="H4" s="821"/>
      <c r="I4" s="821"/>
      <c r="J4" s="821"/>
      <c r="K4" s="821"/>
      <c r="L4" s="821"/>
      <c r="M4" s="821"/>
      <c r="N4" s="821"/>
      <c r="O4" s="821"/>
      <c r="P4" s="820"/>
      <c r="Q4" s="820"/>
      <c r="R4" s="822" t="s">
        <v>599</v>
      </c>
      <c r="S4" s="820"/>
      <c r="T4" s="820"/>
      <c r="U4" s="823"/>
      <c r="V4" s="803"/>
      <c r="X4" s="1130" t="s">
        <v>596</v>
      </c>
      <c r="Y4" s="1135">
        <f>D73*20</f>
        <v>5535.7158473635991</v>
      </c>
      <c r="Z4" s="1130"/>
      <c r="AA4" s="1130"/>
      <c r="AB4" s="1130"/>
      <c r="AC4" s="1131"/>
      <c r="AD4" s="1130"/>
      <c r="AE4" s="1130"/>
      <c r="AF4" s="1136" t="s">
        <v>589</v>
      </c>
      <c r="AG4" s="1132" t="s">
        <v>934</v>
      </c>
      <c r="AH4" s="1137">
        <f>IRR(計算シート!D139:X139)*100</f>
        <v>3.1145458420751337</v>
      </c>
      <c r="AI4" s="1138" t="s">
        <v>36</v>
      </c>
      <c r="AJ4" s="1139" t="s">
        <v>482</v>
      </c>
      <c r="AK4" s="1140">
        <f>MIN(計算シート!D142:AH142)</f>
        <v>15</v>
      </c>
      <c r="AL4" s="1141" t="s">
        <v>132</v>
      </c>
      <c r="AM4" s="635"/>
    </row>
    <row r="5" spans="1:39" s="1" customFormat="1" ht="17.5" customHeight="1" x14ac:dyDescent="0.2">
      <c r="A5" s="804"/>
      <c r="B5" s="1075" t="s">
        <v>528</v>
      </c>
      <c r="C5" s="1170">
        <v>50</v>
      </c>
      <c r="D5" s="1079" t="s">
        <v>540</v>
      </c>
      <c r="E5" s="1174">
        <v>14000</v>
      </c>
      <c r="F5" s="1227" t="s">
        <v>316</v>
      </c>
      <c r="G5" s="810"/>
      <c r="H5" s="821"/>
      <c r="I5" s="821"/>
      <c r="J5" s="821"/>
      <c r="K5" s="821"/>
      <c r="L5" s="821"/>
      <c r="M5" s="821"/>
      <c r="N5" s="821"/>
      <c r="O5" s="821"/>
      <c r="P5" s="820"/>
      <c r="Q5" s="820"/>
      <c r="R5" s="822"/>
      <c r="S5" s="1338">
        <f>計算シート!AI202/1000</f>
        <v>91027.553203125019</v>
      </c>
      <c r="T5" s="1338"/>
      <c r="U5" s="822" t="s">
        <v>165</v>
      </c>
      <c r="V5" s="803"/>
      <c r="X5" s="1130" t="s">
        <v>594</v>
      </c>
      <c r="Y5" s="1132"/>
      <c r="Z5" s="1135">
        <f>SUM(C60:C63)*20</f>
        <v>5992.0132980468752</v>
      </c>
      <c r="AA5" s="1130"/>
      <c r="AB5" s="1130"/>
      <c r="AC5" s="1131"/>
      <c r="AD5" s="1130"/>
      <c r="AE5" s="1130"/>
      <c r="AF5" s="1132"/>
      <c r="AG5" s="1132"/>
      <c r="AH5" s="1132"/>
      <c r="AI5" s="1132"/>
      <c r="AJ5" s="1132"/>
      <c r="AK5" s="1132"/>
      <c r="AL5" s="1132"/>
      <c r="AM5" s="635"/>
    </row>
    <row r="6" spans="1:39" s="1" customFormat="1" ht="17.5" x14ac:dyDescent="0.2">
      <c r="A6" s="804"/>
      <c r="B6" s="1076" t="s">
        <v>529</v>
      </c>
      <c r="C6" s="1171">
        <v>0</v>
      </c>
      <c r="D6" s="1079" t="s">
        <v>540</v>
      </c>
      <c r="E6" s="1175">
        <v>7000</v>
      </c>
      <c r="F6" s="1227" t="s">
        <v>316</v>
      </c>
      <c r="G6" s="810"/>
      <c r="H6" s="821"/>
      <c r="I6" s="821"/>
      <c r="J6" s="821"/>
      <c r="K6" s="821"/>
      <c r="L6" s="821"/>
      <c r="M6" s="821"/>
      <c r="N6" s="821"/>
      <c r="O6" s="821"/>
      <c r="P6" s="820"/>
      <c r="Q6" s="820"/>
      <c r="R6" s="822"/>
      <c r="S6" s="958"/>
      <c r="T6" s="958"/>
      <c r="U6" s="822"/>
      <c r="V6" s="803"/>
      <c r="X6" s="1142" t="s">
        <v>595</v>
      </c>
      <c r="Y6" s="1132"/>
      <c r="Z6" s="1135">
        <f>Z5</f>
        <v>5992.0132980468752</v>
      </c>
      <c r="AA6" s="1135">
        <f>SUM(入門編_計算シート!$D$189,入門編_計算シート!$D$191,入門編_計算シート!$D$193,入門編_計算シート!$D$197,入門編_計算シート!$D$201,入門編_計算シート!$D$203,入門編_計算シート!$D$205,入門編_計算シート!$D$209)</f>
        <v>1434.8871419914879</v>
      </c>
      <c r="AB6" s="1130"/>
      <c r="AC6" s="1131"/>
      <c r="AD6" s="1130"/>
      <c r="AE6" s="1130"/>
      <c r="AF6" s="1139" t="s">
        <v>593</v>
      </c>
      <c r="AG6" s="1132"/>
      <c r="AH6" s="1139"/>
      <c r="AI6" s="1132"/>
      <c r="AJ6" s="1132"/>
      <c r="AK6" s="1132"/>
      <c r="AL6" s="1132"/>
      <c r="AM6" s="635"/>
    </row>
    <row r="7" spans="1:39" s="1" customFormat="1" ht="17.5" customHeight="1" x14ac:dyDescent="0.35">
      <c r="A7" s="804"/>
      <c r="B7" s="1077" t="s">
        <v>530</v>
      </c>
      <c r="C7" s="1172">
        <v>0</v>
      </c>
      <c r="D7" s="1079" t="s">
        <v>540</v>
      </c>
      <c r="E7" s="1174">
        <v>7000</v>
      </c>
      <c r="F7" s="1227" t="s">
        <v>316</v>
      </c>
      <c r="G7" s="810"/>
      <c r="H7" s="821"/>
      <c r="I7" s="821"/>
      <c r="J7" s="821"/>
      <c r="K7" s="821"/>
      <c r="L7" s="821"/>
      <c r="M7" s="821"/>
      <c r="N7" s="821"/>
      <c r="O7" s="821"/>
      <c r="P7" s="820"/>
      <c r="Q7" s="820"/>
      <c r="R7" s="822" t="s">
        <v>1127</v>
      </c>
      <c r="S7" s="958"/>
      <c r="T7" s="958"/>
      <c r="U7" s="822"/>
      <c r="V7" s="803"/>
      <c r="X7" s="1142" t="s">
        <v>597</v>
      </c>
      <c r="Y7" s="1143">
        <f>(Y14*S5*1000)</f>
        <v>44421.445963125007</v>
      </c>
      <c r="Z7" s="1130"/>
      <c r="AA7" s="1130"/>
      <c r="AB7" s="1130"/>
      <c r="AC7" s="1131"/>
      <c r="AD7" s="1130"/>
      <c r="AE7" s="1130"/>
      <c r="AF7" s="1132"/>
      <c r="AG7" s="1140"/>
      <c r="AH7" s="1138"/>
      <c r="AI7" s="1140"/>
      <c r="AJ7" s="1132"/>
      <c r="AK7" s="1132"/>
      <c r="AL7" s="1132"/>
      <c r="AM7" s="635"/>
    </row>
    <row r="8" spans="1:39" s="1" customFormat="1" ht="19" x14ac:dyDescent="0.35">
      <c r="A8" s="804"/>
      <c r="B8" s="1080" t="s">
        <v>531</v>
      </c>
      <c r="C8" s="1173">
        <v>0</v>
      </c>
      <c r="D8" s="1079" t="s">
        <v>540</v>
      </c>
      <c r="E8" s="1174">
        <v>2000</v>
      </c>
      <c r="F8" s="1227" t="s">
        <v>316</v>
      </c>
      <c r="G8" s="810"/>
      <c r="H8" s="821"/>
      <c r="I8" s="821"/>
      <c r="J8" s="821"/>
      <c r="K8" s="821"/>
      <c r="L8" s="821"/>
      <c r="M8" s="824"/>
      <c r="N8" s="824"/>
      <c r="O8" s="820"/>
      <c r="P8" s="820"/>
      <c r="Q8" s="820"/>
      <c r="R8" s="826"/>
      <c r="S8" s="1342">
        <f>計算シート!C140*100</f>
        <v>3.1145458420751337</v>
      </c>
      <c r="T8" s="1342"/>
      <c r="U8" s="826" t="s">
        <v>36</v>
      </c>
      <c r="V8" s="803"/>
      <c r="X8" s="1130"/>
      <c r="Y8" s="1130"/>
      <c r="Z8" s="1130"/>
      <c r="AA8" s="1130"/>
      <c r="AB8" s="1130"/>
      <c r="AC8" s="1131"/>
      <c r="AD8" s="1130"/>
      <c r="AE8" s="1130"/>
      <c r="AF8" s="1132"/>
      <c r="AG8" s="1132"/>
      <c r="AH8" s="1132"/>
      <c r="AI8" s="1137"/>
      <c r="AJ8" s="1132"/>
      <c r="AK8" s="1132"/>
      <c r="AL8" s="1132"/>
      <c r="AM8" s="635"/>
    </row>
    <row r="9" spans="1:39" s="1" customFormat="1" ht="19" customHeight="1" x14ac:dyDescent="0.25">
      <c r="A9" s="804"/>
      <c r="B9" s="1080" t="s">
        <v>532</v>
      </c>
      <c r="C9" s="1173">
        <v>0</v>
      </c>
      <c r="D9" s="1079" t="s">
        <v>540</v>
      </c>
      <c r="E9" s="1174">
        <v>2000</v>
      </c>
      <c r="F9" s="1227" t="s">
        <v>316</v>
      </c>
      <c r="G9" s="810"/>
      <c r="H9" s="821"/>
      <c r="I9" s="821"/>
      <c r="J9" s="821"/>
      <c r="K9" s="821"/>
      <c r="L9" s="821"/>
      <c r="M9" s="824"/>
      <c r="N9" s="824"/>
      <c r="O9" s="825"/>
      <c r="P9" s="825"/>
      <c r="Q9" s="825"/>
      <c r="R9" s="827" t="s">
        <v>598</v>
      </c>
      <c r="S9" s="959"/>
      <c r="T9" s="959"/>
      <c r="U9" s="826"/>
      <c r="V9" s="805"/>
      <c r="X9" s="1131"/>
      <c r="Y9" s="1131"/>
      <c r="Z9" s="1131"/>
      <c r="AA9" s="1131"/>
      <c r="AB9" s="1131"/>
      <c r="AC9" s="1131"/>
      <c r="AD9" s="1131"/>
      <c r="AE9" s="1131"/>
      <c r="AF9" s="1144"/>
      <c r="AG9" s="1145"/>
      <c r="AH9" s="1138"/>
      <c r="AI9" s="1145"/>
      <c r="AJ9" s="1138"/>
      <c r="AK9" s="1146"/>
      <c r="AL9" s="1147"/>
      <c r="AM9" s="635"/>
    </row>
    <row r="10" spans="1:39" s="1" customFormat="1" ht="19" customHeight="1" x14ac:dyDescent="0.25">
      <c r="A10" s="804"/>
      <c r="B10" s="1075" t="s">
        <v>533</v>
      </c>
      <c r="C10" s="1174">
        <v>0</v>
      </c>
      <c r="D10" s="1079" t="s">
        <v>540</v>
      </c>
      <c r="E10" s="1174">
        <v>12000</v>
      </c>
      <c r="F10" s="1227" t="s">
        <v>316</v>
      </c>
      <c r="G10" s="810"/>
      <c r="H10" s="821"/>
      <c r="I10" s="821"/>
      <c r="J10" s="821"/>
      <c r="K10" s="821"/>
      <c r="L10" s="821"/>
      <c r="M10" s="824"/>
      <c r="N10" s="824"/>
      <c r="O10" s="825"/>
      <c r="P10" s="825"/>
      <c r="Q10" s="825"/>
      <c r="R10" s="826"/>
      <c r="S10" s="1340">
        <f>MIN(計算シート!D142:AG142)</f>
        <v>15</v>
      </c>
      <c r="T10" s="1340"/>
      <c r="U10" s="827" t="s">
        <v>132</v>
      </c>
      <c r="V10" s="805"/>
      <c r="X10" s="1131"/>
      <c r="Y10" s="1131"/>
      <c r="Z10" s="1131"/>
      <c r="AA10" s="1131"/>
      <c r="AB10" s="1131"/>
      <c r="AC10" s="1131"/>
      <c r="AD10" s="1131"/>
      <c r="AE10" s="1131"/>
      <c r="AF10" s="1144"/>
      <c r="AG10" s="1145"/>
      <c r="AH10" s="1138"/>
      <c r="AI10" s="1145"/>
      <c r="AJ10" s="1138"/>
      <c r="AK10" s="1146"/>
      <c r="AL10" s="1147"/>
      <c r="AM10" s="635"/>
    </row>
    <row r="11" spans="1:39" s="1" customFormat="1" ht="19" customHeight="1" thickBot="1" x14ac:dyDescent="0.3">
      <c r="A11" s="804"/>
      <c r="B11" s="1081" t="s">
        <v>69</v>
      </c>
      <c r="C11" s="1090">
        <f>SUM(C5:C10)</f>
        <v>50</v>
      </c>
      <c r="D11" s="1102" t="s">
        <v>540</v>
      </c>
      <c r="E11" s="1074"/>
      <c r="F11" s="875"/>
      <c r="G11" s="810"/>
      <c r="H11" s="821"/>
      <c r="I11" s="821"/>
      <c r="J11" s="821"/>
      <c r="K11" s="821"/>
      <c r="L11" s="821"/>
      <c r="M11" s="824"/>
      <c r="N11" s="824"/>
      <c r="O11" s="825"/>
      <c r="P11" s="825"/>
      <c r="Q11" s="825"/>
      <c r="R11" s="827" t="s">
        <v>600</v>
      </c>
      <c r="S11" s="959"/>
      <c r="T11" s="959"/>
      <c r="U11" s="826"/>
      <c r="V11" s="805"/>
      <c r="X11" s="1131"/>
      <c r="Y11" s="1131"/>
      <c r="Z11" s="1131"/>
      <c r="AA11" s="1131"/>
      <c r="AB11" s="1131"/>
      <c r="AC11" s="1131"/>
      <c r="AD11" s="1131"/>
      <c r="AE11" s="1131"/>
      <c r="AF11" s="1144"/>
      <c r="AG11" s="1145"/>
      <c r="AH11" s="1138"/>
      <c r="AI11" s="1145"/>
      <c r="AJ11" s="1138"/>
      <c r="AK11" s="1146"/>
      <c r="AL11" s="1147"/>
      <c r="AM11" s="635"/>
    </row>
    <row r="12" spans="1:39" s="1" customFormat="1" ht="19" customHeight="1" thickBot="1" x14ac:dyDescent="0.3">
      <c r="A12" s="804"/>
      <c r="B12" s="837"/>
      <c r="C12" s="837"/>
      <c r="D12" s="837"/>
      <c r="E12" s="981"/>
      <c r="F12" s="989"/>
      <c r="G12" s="989"/>
      <c r="H12" s="821"/>
      <c r="I12" s="821"/>
      <c r="J12" s="821"/>
      <c r="K12" s="821"/>
      <c r="L12" s="821"/>
      <c r="M12" s="824"/>
      <c r="N12" s="824"/>
      <c r="O12" s="820"/>
      <c r="P12" s="820"/>
      <c r="Q12" s="820"/>
      <c r="R12" s="826"/>
      <c r="S12" s="1338">
        <f>AA6</f>
        <v>1434.8871419914879</v>
      </c>
      <c r="T12" s="1338"/>
      <c r="U12" s="827" t="s">
        <v>304</v>
      </c>
      <c r="V12" s="803"/>
      <c r="X12" s="1130"/>
      <c r="Y12" s="1130"/>
      <c r="Z12" s="1130"/>
      <c r="AA12" s="1130"/>
      <c r="AB12" s="1130"/>
      <c r="AC12" s="1131"/>
      <c r="AD12" s="1130"/>
      <c r="AE12" s="1130"/>
      <c r="AF12" s="1144"/>
      <c r="AG12" s="1145"/>
      <c r="AH12" s="1138"/>
      <c r="AI12" s="1145"/>
      <c r="AJ12" s="1138"/>
      <c r="AK12" s="1146"/>
      <c r="AL12" s="1147"/>
      <c r="AM12" s="635"/>
    </row>
    <row r="13" spans="1:39" s="1" customFormat="1" ht="19" customHeight="1" x14ac:dyDescent="0.25">
      <c r="A13" s="804"/>
      <c r="B13" s="991" t="s">
        <v>755</v>
      </c>
      <c r="C13" s="837"/>
      <c r="D13" s="837"/>
      <c r="E13" s="837"/>
      <c r="F13" s="837"/>
      <c r="G13" s="837"/>
      <c r="H13" s="821"/>
      <c r="I13" s="821"/>
      <c r="J13" s="821"/>
      <c r="K13" s="821"/>
      <c r="L13" s="821"/>
      <c r="M13" s="824"/>
      <c r="N13" s="824"/>
      <c r="O13" s="825"/>
      <c r="P13" s="825"/>
      <c r="Q13" s="825"/>
      <c r="R13" s="826" t="s">
        <v>605</v>
      </c>
      <c r="S13" s="959"/>
      <c r="T13" s="959"/>
      <c r="U13" s="826"/>
      <c r="V13" s="805"/>
      <c r="X13" s="1131"/>
      <c r="Y13" s="1131"/>
      <c r="Z13" s="1131"/>
      <c r="AA13" s="1131"/>
      <c r="AB13" s="1131"/>
      <c r="AC13" s="1131"/>
      <c r="AD13" s="1131"/>
      <c r="AE13" s="1131"/>
      <c r="AF13" s="1144"/>
      <c r="AG13" s="1145"/>
      <c r="AH13" s="1138"/>
      <c r="AI13" s="1145"/>
      <c r="AJ13" s="1138"/>
      <c r="AK13" s="1146"/>
      <c r="AL13" s="1147"/>
      <c r="AM13" s="635"/>
    </row>
    <row r="14" spans="1:39" s="1" customFormat="1" ht="19.5" thickBot="1" x14ac:dyDescent="0.3">
      <c r="A14" s="804"/>
      <c r="B14" s="992">
        <f>入力条件の変換!B31</f>
        <v>709.4677734375</v>
      </c>
      <c r="C14" s="837"/>
      <c r="D14" s="837"/>
      <c r="E14" s="837"/>
      <c r="F14" s="837"/>
      <c r="G14" s="837"/>
      <c r="H14" s="821"/>
      <c r="I14" s="821"/>
      <c r="J14" s="821"/>
      <c r="K14" s="821"/>
      <c r="L14" s="821"/>
      <c r="M14" s="824"/>
      <c r="N14" s="824"/>
      <c r="O14" s="825"/>
      <c r="P14" s="825"/>
      <c r="Q14" s="825"/>
      <c r="R14" s="826"/>
      <c r="S14" s="1338">
        <f>Y7</f>
        <v>44421.445963125007</v>
      </c>
      <c r="T14" s="1338"/>
      <c r="U14" s="827" t="s">
        <v>604</v>
      </c>
      <c r="V14" s="805"/>
      <c r="X14" s="1148" t="s">
        <v>694</v>
      </c>
      <c r="Y14" s="1131">
        <v>4.8799999999999999E-4</v>
      </c>
      <c r="Z14" s="1132" t="s">
        <v>695</v>
      </c>
      <c r="AA14" s="1131" t="s">
        <v>691</v>
      </c>
      <c r="AB14" s="1131"/>
      <c r="AC14" s="1131"/>
      <c r="AD14" s="1131"/>
      <c r="AE14" s="1131"/>
      <c r="AF14" s="1138"/>
      <c r="AG14" s="1146"/>
      <c r="AH14" s="1147"/>
      <c r="AI14" s="1131"/>
      <c r="AJ14" s="1132"/>
      <c r="AK14" s="1132"/>
      <c r="AL14" s="1132"/>
    </row>
    <row r="15" spans="1:39" s="1" customFormat="1" ht="17.5" customHeight="1" x14ac:dyDescent="0.2">
      <c r="A15" s="804"/>
      <c r="B15" s="990" t="s">
        <v>739</v>
      </c>
      <c r="C15" s="990"/>
      <c r="D15" s="837"/>
      <c r="E15" s="837"/>
      <c r="F15" s="837"/>
      <c r="G15" s="837"/>
      <c r="H15" s="957" t="s">
        <v>703</v>
      </c>
      <c r="I15" s="957"/>
      <c r="J15" s="821"/>
      <c r="K15" s="821"/>
      <c r="L15" s="821"/>
      <c r="M15" s="824"/>
      <c r="N15" s="824"/>
      <c r="O15" s="825"/>
      <c r="P15" s="825"/>
      <c r="Q15" s="825"/>
      <c r="R15" s="825"/>
      <c r="S15" s="825"/>
      <c r="T15" s="825"/>
      <c r="U15" s="825"/>
      <c r="V15" s="805"/>
      <c r="X15" s="1148" t="s">
        <v>693</v>
      </c>
      <c r="Y15" s="1131">
        <v>5.7000000000000002E-2</v>
      </c>
      <c r="Z15" s="1132" t="s">
        <v>696</v>
      </c>
      <c r="AA15" s="1131" t="s">
        <v>692</v>
      </c>
      <c r="AB15" s="1131"/>
      <c r="AC15" s="1131"/>
      <c r="AD15" s="1131"/>
      <c r="AE15" s="1131"/>
      <c r="AF15" s="1149"/>
      <c r="AG15" s="1146"/>
      <c r="AH15" s="1147"/>
      <c r="AI15" s="1131"/>
      <c r="AJ15" s="1132"/>
      <c r="AK15" s="1132"/>
      <c r="AL15" s="1132"/>
    </row>
    <row r="16" spans="1:39" s="1" customFormat="1" x14ac:dyDescent="0.2">
      <c r="A16" s="804"/>
      <c r="B16" s="804"/>
      <c r="C16" s="804"/>
      <c r="D16" s="804"/>
      <c r="E16" s="804"/>
      <c r="F16" s="804"/>
      <c r="G16" s="804"/>
      <c r="H16" s="821"/>
      <c r="I16" s="821"/>
      <c r="J16" s="821"/>
      <c r="K16" s="821"/>
      <c r="L16" s="821"/>
      <c r="M16" s="824"/>
      <c r="N16" s="824"/>
      <c r="O16" s="825"/>
      <c r="P16" s="825"/>
      <c r="Q16" s="825"/>
      <c r="R16" s="825"/>
      <c r="S16" s="825"/>
      <c r="T16" s="825"/>
      <c r="U16" s="825"/>
      <c r="V16" s="805"/>
      <c r="X16" s="1131"/>
      <c r="Y16" s="1131"/>
      <c r="Z16" s="1131"/>
      <c r="AA16" s="1131"/>
      <c r="AB16" s="1131"/>
      <c r="AC16" s="1131"/>
      <c r="AD16" s="1131"/>
      <c r="AE16" s="1131"/>
      <c r="AF16" s="1131"/>
      <c r="AG16" s="1146"/>
      <c r="AH16" s="1147"/>
      <c r="AI16" s="1131"/>
      <c r="AJ16" s="1132"/>
      <c r="AK16" s="1132"/>
      <c r="AL16" s="1132"/>
    </row>
    <row r="17" spans="1:38" s="1" customFormat="1" ht="19.5" customHeight="1" x14ac:dyDescent="0.2">
      <c r="A17" s="804"/>
      <c r="B17" s="857" t="s">
        <v>984</v>
      </c>
      <c r="C17" s="906"/>
      <c r="D17" s="906"/>
      <c r="E17" s="906"/>
      <c r="F17" s="906"/>
      <c r="G17" s="804"/>
      <c r="H17" s="805"/>
      <c r="I17" s="813"/>
      <c r="J17" s="813"/>
      <c r="K17" s="813"/>
      <c r="L17" s="813"/>
      <c r="M17" s="814"/>
      <c r="N17" s="814"/>
      <c r="O17" s="814"/>
      <c r="P17" s="813"/>
      <c r="Q17" s="813"/>
      <c r="R17" s="813"/>
      <c r="S17" s="813"/>
      <c r="T17" s="813"/>
      <c r="U17" s="813"/>
      <c r="V17" s="805"/>
      <c r="X17" s="1131"/>
      <c r="Y17" s="1131"/>
      <c r="Z17" s="1131"/>
      <c r="AA17" s="1131"/>
      <c r="AB17" s="1131"/>
      <c r="AC17" s="1131"/>
      <c r="AD17" s="1131"/>
      <c r="AE17" s="1131"/>
      <c r="AF17" s="1131"/>
      <c r="AG17" s="1146"/>
      <c r="AH17" s="1147"/>
      <c r="AI17" s="1131"/>
      <c r="AJ17" s="1132"/>
      <c r="AK17" s="1132"/>
      <c r="AL17" s="1132"/>
    </row>
    <row r="18" spans="1:38" s="1" customFormat="1" ht="16.5" x14ac:dyDescent="0.35">
      <c r="A18" s="804"/>
      <c r="B18" s="1228" t="s">
        <v>985</v>
      </c>
      <c r="C18" s="1228"/>
      <c r="D18" s="906"/>
      <c r="E18" s="906"/>
      <c r="F18" s="906"/>
      <c r="G18" s="804"/>
      <c r="H18" s="1300" t="s">
        <v>1081</v>
      </c>
      <c r="I18" s="850"/>
      <c r="J18" s="850"/>
      <c r="K18" s="850"/>
      <c r="L18" s="850"/>
      <c r="M18" s="850"/>
      <c r="N18" s="850"/>
      <c r="O18" s="850"/>
      <c r="P18" s="850"/>
      <c r="Q18" s="850"/>
      <c r="R18" s="850"/>
      <c r="S18" s="850"/>
      <c r="T18" s="850"/>
      <c r="U18" s="851"/>
      <c r="V18" s="805"/>
      <c r="X18" s="1139" t="s">
        <v>590</v>
      </c>
      <c r="Y18" s="1137">
        <f>(C73-D73)*20*1000/S5</f>
        <v>5.0127399301293174</v>
      </c>
      <c r="Z18" s="1138" t="s">
        <v>935</v>
      </c>
      <c r="AA18" s="1131"/>
      <c r="AB18" s="1131"/>
      <c r="AC18" s="1131"/>
      <c r="AD18" s="1131"/>
      <c r="AE18" s="1131"/>
      <c r="AF18" s="1131"/>
      <c r="AG18" s="1146"/>
      <c r="AH18" s="1147"/>
      <c r="AI18" s="1131"/>
      <c r="AJ18" s="1132"/>
      <c r="AK18" s="1132"/>
      <c r="AL18" s="1132"/>
    </row>
    <row r="19" spans="1:38" s="1" customFormat="1" ht="15.5" customHeight="1" x14ac:dyDescent="0.35">
      <c r="A19" s="804"/>
      <c r="B19" s="1228" t="s">
        <v>1003</v>
      </c>
      <c r="C19" s="1228"/>
      <c r="D19" s="906"/>
      <c r="E19" s="906"/>
      <c r="F19" s="906"/>
      <c r="G19" s="804"/>
      <c r="H19" s="1301" t="s">
        <v>1086</v>
      </c>
      <c r="I19" s="848"/>
      <c r="J19" s="848"/>
      <c r="K19" s="848"/>
      <c r="L19" s="848"/>
      <c r="M19" s="848"/>
      <c r="N19" s="848"/>
      <c r="O19" s="848"/>
      <c r="P19" s="848"/>
      <c r="Q19" s="848"/>
      <c r="R19" s="848"/>
      <c r="S19" s="848"/>
      <c r="T19" s="848"/>
      <c r="U19" s="853"/>
      <c r="V19" s="805"/>
      <c r="X19" s="1139" t="s">
        <v>591</v>
      </c>
      <c r="Y19" s="1137">
        <v>0</v>
      </c>
      <c r="Z19" s="1138" t="s">
        <v>936</v>
      </c>
      <c r="AA19" s="1131"/>
      <c r="AB19" s="1131"/>
      <c r="AC19" s="1131"/>
      <c r="AD19" s="1131"/>
      <c r="AE19" s="1131"/>
      <c r="AF19" s="1131"/>
      <c r="AG19" s="1146"/>
      <c r="AH19" s="1147"/>
      <c r="AI19" s="1131"/>
      <c r="AJ19" s="1132"/>
      <c r="AK19" s="1132"/>
      <c r="AL19" s="1132"/>
    </row>
    <row r="20" spans="1:38" s="811" customFormat="1" ht="15.5" customHeight="1" x14ac:dyDescent="0.3">
      <c r="A20" s="804"/>
      <c r="B20" s="1228"/>
      <c r="C20" s="1228"/>
      <c r="D20" s="906"/>
      <c r="E20" s="906"/>
      <c r="F20" s="906"/>
      <c r="G20" s="804"/>
      <c r="H20" s="1302" t="s">
        <v>1087</v>
      </c>
      <c r="I20" s="848"/>
      <c r="J20" s="848"/>
      <c r="K20" s="848"/>
      <c r="L20" s="848"/>
      <c r="M20" s="848"/>
      <c r="N20" s="848"/>
      <c r="O20" s="848"/>
      <c r="P20" s="848"/>
      <c r="Q20" s="848"/>
      <c r="R20" s="848"/>
      <c r="S20" s="848"/>
      <c r="T20" s="848"/>
      <c r="U20" s="853"/>
      <c r="V20" s="813"/>
      <c r="X20" s="1150"/>
      <c r="Y20" s="1150"/>
      <c r="Z20" s="1150"/>
      <c r="AA20" s="1150"/>
      <c r="AB20" s="1150"/>
      <c r="AC20" s="1150"/>
      <c r="AD20" s="1150"/>
      <c r="AE20" s="1150"/>
      <c r="AF20" s="1150"/>
      <c r="AG20" s="1151"/>
      <c r="AH20" s="1152"/>
      <c r="AI20" s="1150"/>
      <c r="AJ20" s="1153"/>
      <c r="AK20" s="1153"/>
      <c r="AL20" s="1153"/>
    </row>
    <row r="21" spans="1:38" s="811" customFormat="1" ht="15.5" customHeight="1" x14ac:dyDescent="0.3">
      <c r="A21" s="804"/>
      <c r="B21" s="857" t="s">
        <v>981</v>
      </c>
      <c r="C21" s="906"/>
      <c r="D21" s="906"/>
      <c r="E21" s="906"/>
      <c r="F21" s="906"/>
      <c r="G21" s="804"/>
      <c r="H21" s="1302" t="s">
        <v>1082</v>
      </c>
      <c r="I21" s="848"/>
      <c r="J21" s="848"/>
      <c r="K21" s="848"/>
      <c r="L21" s="848"/>
      <c r="M21" s="848"/>
      <c r="N21" s="848"/>
      <c r="O21" s="848"/>
      <c r="P21" s="848"/>
      <c r="Q21" s="848"/>
      <c r="R21" s="848"/>
      <c r="S21" s="848"/>
      <c r="T21" s="848"/>
      <c r="U21" s="853"/>
      <c r="V21" s="813"/>
      <c r="X21" s="1150"/>
      <c r="Y21" s="1150"/>
      <c r="Z21" s="1150"/>
      <c r="AA21" s="1150"/>
      <c r="AB21" s="1150"/>
      <c r="AC21" s="1150"/>
      <c r="AD21" s="1150"/>
      <c r="AE21" s="1150"/>
      <c r="AF21" s="1150"/>
      <c r="AG21" s="1151"/>
      <c r="AH21" s="1152"/>
      <c r="AI21" s="1150"/>
      <c r="AJ21" s="1221"/>
      <c r="AK21" s="1221"/>
      <c r="AL21" s="1221"/>
    </row>
    <row r="22" spans="1:38" s="811" customFormat="1" ht="20" x14ac:dyDescent="0.3">
      <c r="A22" s="804"/>
      <c r="B22" s="1228" t="s">
        <v>904</v>
      </c>
      <c r="C22" s="1228"/>
      <c r="D22" s="906"/>
      <c r="E22" s="906"/>
      <c r="F22" s="906"/>
      <c r="G22" s="804"/>
      <c r="H22" s="1302" t="s">
        <v>1083</v>
      </c>
      <c r="I22" s="848"/>
      <c r="J22" s="848"/>
      <c r="K22" s="848"/>
      <c r="L22" s="848"/>
      <c r="M22" s="848"/>
      <c r="N22" s="848"/>
      <c r="O22" s="848"/>
      <c r="P22" s="848"/>
      <c r="Q22" s="848"/>
      <c r="R22" s="848"/>
      <c r="S22" s="848"/>
      <c r="T22" s="848"/>
      <c r="U22" s="853"/>
      <c r="V22" s="813"/>
      <c r="X22" s="1150"/>
      <c r="Y22" s="1150"/>
      <c r="Z22" s="1150"/>
      <c r="AA22" s="1150"/>
      <c r="AB22" s="1150"/>
      <c r="AC22" s="1150"/>
      <c r="AD22" s="1150"/>
      <c r="AE22" s="1150"/>
      <c r="AF22" s="1150"/>
      <c r="AG22" s="1151"/>
      <c r="AH22" s="1152"/>
      <c r="AI22" s="1150"/>
      <c r="AJ22" s="1221"/>
      <c r="AK22" s="1221"/>
      <c r="AL22" s="1221"/>
    </row>
    <row r="23" spans="1:38" s="811" customFormat="1" ht="20" x14ac:dyDescent="0.2">
      <c r="A23" s="804"/>
      <c r="B23" s="1229"/>
      <c r="C23" s="1228" t="s">
        <v>930</v>
      </c>
      <c r="D23" s="906"/>
      <c r="E23" s="906"/>
      <c r="F23" s="906"/>
      <c r="G23" s="804"/>
      <c r="H23" s="1301" t="s">
        <v>1084</v>
      </c>
      <c r="I23" s="848"/>
      <c r="J23" s="848"/>
      <c r="K23" s="848"/>
      <c r="L23" s="848"/>
      <c r="M23" s="848"/>
      <c r="N23" s="848"/>
      <c r="O23" s="848"/>
      <c r="P23" s="848"/>
      <c r="Q23" s="848"/>
      <c r="R23" s="848"/>
      <c r="S23" s="848"/>
      <c r="T23" s="848"/>
      <c r="U23" s="853"/>
      <c r="V23" s="813"/>
      <c r="W23" s="812"/>
      <c r="X23" s="857"/>
      <c r="Y23" s="1222"/>
      <c r="Z23" s="1222"/>
      <c r="AA23" s="857"/>
      <c r="AB23" s="1222"/>
      <c r="AC23" s="857"/>
      <c r="AD23" s="1222"/>
      <c r="AE23" s="857"/>
      <c r="AF23" s="1222"/>
      <c r="AG23" s="857"/>
      <c r="AH23" s="1222"/>
      <c r="AI23" s="857"/>
      <c r="AJ23" s="1221"/>
      <c r="AK23" s="1221"/>
      <c r="AL23" s="1221"/>
    </row>
    <row r="24" spans="1:38" ht="14" x14ac:dyDescent="0.2">
      <c r="A24" s="804"/>
      <c r="B24" s="848"/>
      <c r="C24" s="1228" t="s">
        <v>931</v>
      </c>
      <c r="D24" s="906"/>
      <c r="E24" s="906"/>
      <c r="F24" s="906"/>
      <c r="G24" s="804"/>
      <c r="H24" s="1302" t="s">
        <v>1085</v>
      </c>
      <c r="I24" s="848"/>
      <c r="J24" s="848"/>
      <c r="K24" s="848"/>
      <c r="L24" s="848"/>
      <c r="M24" s="848"/>
      <c r="N24" s="848"/>
      <c r="O24" s="848"/>
      <c r="P24" s="848"/>
      <c r="Q24" s="848"/>
      <c r="R24" s="848"/>
      <c r="S24" s="848"/>
      <c r="T24" s="848"/>
      <c r="U24" s="853"/>
      <c r="V24" s="805"/>
      <c r="W24" s="636"/>
      <c r="X24" s="1215"/>
      <c r="Y24" s="1223"/>
      <c r="Z24" s="1215"/>
      <c r="AA24" s="1223"/>
      <c r="AB24" s="1215"/>
      <c r="AC24" s="1223"/>
      <c r="AD24" s="1215"/>
      <c r="AE24" s="1223"/>
      <c r="AF24" s="1215"/>
      <c r="AG24" s="1223"/>
      <c r="AH24" s="1215"/>
      <c r="AI24" s="1223"/>
      <c r="AJ24" s="1224"/>
      <c r="AK24" s="1224"/>
      <c r="AL24" s="1224"/>
    </row>
    <row r="25" spans="1:38" x14ac:dyDescent="0.2">
      <c r="A25" s="804"/>
      <c r="B25" s="935"/>
      <c r="C25" s="1228" t="s">
        <v>982</v>
      </c>
      <c r="D25" s="906"/>
      <c r="E25" s="906"/>
      <c r="F25" s="906"/>
      <c r="G25" s="804"/>
      <c r="H25" s="854"/>
      <c r="I25" s="855"/>
      <c r="J25" s="855"/>
      <c r="K25" s="855"/>
      <c r="L25" s="855"/>
      <c r="M25" s="855"/>
      <c r="N25" s="855"/>
      <c r="O25" s="855"/>
      <c r="P25" s="855"/>
      <c r="Q25" s="855"/>
      <c r="R25" s="855"/>
      <c r="S25" s="855"/>
      <c r="T25" s="855"/>
      <c r="U25" s="856"/>
      <c r="V25" s="805"/>
      <c r="W25" s="636"/>
      <c r="X25" s="1217"/>
      <c r="Y25" s="1225"/>
      <c r="Z25" s="1217"/>
      <c r="AA25" s="1226"/>
      <c r="AB25" s="1217"/>
      <c r="AC25" s="1225"/>
      <c r="AD25" s="1217"/>
      <c r="AE25" s="1225"/>
      <c r="AF25" s="1217"/>
      <c r="AG25" s="1225"/>
      <c r="AH25" s="1217"/>
      <c r="AI25" s="1225"/>
      <c r="AJ25" s="1224"/>
      <c r="AK25" s="1224"/>
      <c r="AL25" s="1224"/>
    </row>
    <row r="26" spans="1:38" ht="13" customHeight="1" x14ac:dyDescent="0.2">
      <c r="A26" s="804"/>
      <c r="B26" s="906"/>
      <c r="C26" s="1230" t="s">
        <v>983</v>
      </c>
      <c r="D26" s="906"/>
      <c r="E26" s="906"/>
      <c r="F26" s="906"/>
      <c r="G26" s="804"/>
      <c r="H26" s="813"/>
      <c r="I26" s="813"/>
      <c r="J26" s="813"/>
      <c r="K26" s="813"/>
      <c r="L26" s="813"/>
      <c r="M26" s="813"/>
      <c r="N26" s="813"/>
      <c r="O26" s="813"/>
      <c r="P26" s="813"/>
      <c r="Q26" s="813"/>
      <c r="R26" s="813"/>
      <c r="S26" s="813"/>
      <c r="T26" s="813"/>
      <c r="U26" s="813"/>
      <c r="V26" s="805"/>
      <c r="W26" s="636"/>
      <c r="X26" s="1226"/>
      <c r="Y26" s="1225"/>
      <c r="Z26" s="1226"/>
      <c r="AA26" s="1225"/>
      <c r="AB26" s="1226"/>
      <c r="AC26" s="1225"/>
      <c r="AD26" s="1226"/>
      <c r="AE26" s="1225"/>
      <c r="AF26" s="1226"/>
      <c r="AG26" s="1225"/>
      <c r="AH26" s="1226"/>
      <c r="AI26" s="1225"/>
      <c r="AJ26" s="1224"/>
      <c r="AK26" s="1224"/>
      <c r="AL26" s="1224"/>
    </row>
    <row r="27" spans="1:38" s="815" customFormat="1" ht="20" x14ac:dyDescent="0.2">
      <c r="A27" s="832"/>
      <c r="B27" s="814"/>
      <c r="C27" s="814"/>
      <c r="D27" s="814"/>
      <c r="E27" s="814"/>
      <c r="F27" s="814"/>
      <c r="G27" s="814"/>
      <c r="H27" s="813"/>
      <c r="I27" s="828"/>
      <c r="J27" s="828"/>
      <c r="K27" s="813"/>
      <c r="L27" s="813"/>
      <c r="M27" s="813"/>
      <c r="N27" s="814"/>
      <c r="O27" s="814"/>
      <c r="P27" s="814"/>
      <c r="Q27" s="813"/>
      <c r="R27" s="813"/>
      <c r="S27" s="813"/>
      <c r="T27" s="813"/>
      <c r="U27" s="813"/>
      <c r="V27" s="829"/>
      <c r="W27" s="812"/>
      <c r="X27" s="1216"/>
      <c r="Y27" s="1213"/>
      <c r="Z27" s="1216"/>
      <c r="AA27" s="1213"/>
      <c r="AB27" s="1216"/>
      <c r="AC27" s="1213"/>
      <c r="AD27" s="1216"/>
      <c r="AE27" s="1213"/>
      <c r="AF27" s="1216"/>
      <c r="AG27" s="1213"/>
      <c r="AH27" s="1216"/>
      <c r="AI27" s="1213"/>
      <c r="AJ27" s="1153"/>
      <c r="AK27" s="1153"/>
      <c r="AL27" s="1153"/>
    </row>
    <row r="28" spans="1:38" s="3" customFormat="1" ht="33" customHeight="1" x14ac:dyDescent="0.2">
      <c r="A28" s="634"/>
      <c r="B28" s="1071" t="s">
        <v>875</v>
      </c>
      <c r="C28" s="631"/>
      <c r="D28" s="632"/>
      <c r="E28" s="631"/>
      <c r="F28" s="632"/>
      <c r="G28" s="632"/>
      <c r="H28" s="633"/>
      <c r="I28" s="633"/>
      <c r="J28" s="633"/>
      <c r="K28" s="633"/>
      <c r="L28" s="633"/>
      <c r="M28" s="633"/>
      <c r="N28" s="633"/>
      <c r="O28" s="634"/>
      <c r="P28" s="634"/>
      <c r="Q28" s="634"/>
      <c r="R28" s="634"/>
      <c r="S28" s="634"/>
      <c r="T28" s="634"/>
      <c r="U28" s="634"/>
      <c r="V28" s="634"/>
      <c r="W28" s="635"/>
      <c r="X28" s="1216"/>
      <c r="Y28" s="1213"/>
      <c r="Z28" s="1216"/>
      <c r="AA28" s="1213"/>
      <c r="AB28" s="1216"/>
      <c r="AC28" s="1213"/>
      <c r="AD28" s="1216"/>
      <c r="AE28" s="1213"/>
      <c r="AF28" s="1216"/>
      <c r="AG28" s="1213"/>
      <c r="AH28" s="1216"/>
      <c r="AI28" s="1213"/>
      <c r="AJ28" s="1132"/>
      <c r="AK28" s="1132"/>
      <c r="AL28" s="1132"/>
    </row>
    <row r="29" spans="1:38" s="3" customFormat="1" ht="30.5" customHeight="1" thickBot="1" x14ac:dyDescent="0.25">
      <c r="A29" s="833"/>
      <c r="B29" s="802" t="s">
        <v>601</v>
      </c>
      <c r="C29" s="805"/>
      <c r="D29" s="805"/>
      <c r="E29" s="805"/>
      <c r="F29" s="805"/>
      <c r="G29" s="805"/>
      <c r="H29" s="805"/>
      <c r="I29" s="802" t="s">
        <v>756</v>
      </c>
      <c r="J29" s="834"/>
      <c r="K29" s="805"/>
      <c r="L29" s="805"/>
      <c r="M29" s="805"/>
      <c r="N29" s="805"/>
      <c r="O29" s="805"/>
      <c r="P29" s="805"/>
      <c r="Q29" s="805"/>
      <c r="R29" s="805"/>
      <c r="S29" s="805"/>
      <c r="T29" s="805"/>
      <c r="U29" s="805"/>
      <c r="V29" s="835"/>
      <c r="W29" s="635"/>
      <c r="X29" s="1216"/>
      <c r="Y29" s="1214"/>
      <c r="Z29" s="1216"/>
      <c r="AA29" s="1214"/>
      <c r="AB29" s="1216"/>
      <c r="AC29" s="1214"/>
      <c r="AD29" s="1216"/>
      <c r="AE29" s="1214"/>
      <c r="AF29" s="1216"/>
      <c r="AG29" s="1214"/>
      <c r="AH29" s="1216"/>
      <c r="AI29" s="1214"/>
      <c r="AJ29" s="1132"/>
      <c r="AK29" s="1132"/>
      <c r="AL29" s="1132"/>
    </row>
    <row r="30" spans="1:38" s="3" customFormat="1" ht="17" thickBot="1" x14ac:dyDescent="0.25">
      <c r="A30" s="833"/>
      <c r="B30" s="993"/>
      <c r="C30" s="833"/>
      <c r="D30" s="833"/>
      <c r="E30" s="833"/>
      <c r="F30" s="833"/>
      <c r="G30" s="833"/>
      <c r="H30" s="805"/>
      <c r="I30" s="833"/>
      <c r="J30" s="833"/>
      <c r="K30" s="833"/>
      <c r="L30" s="833"/>
      <c r="M30" s="805"/>
      <c r="N30" s="805"/>
      <c r="O30" s="805"/>
      <c r="P30" s="805"/>
      <c r="Q30" s="805"/>
      <c r="R30" s="805"/>
      <c r="S30" s="805"/>
      <c r="T30" s="805"/>
      <c r="U30" s="805"/>
      <c r="V30" s="835"/>
      <c r="W30" s="635"/>
      <c r="X30" s="1132"/>
      <c r="Y30" s="1214"/>
      <c r="Z30" s="1132"/>
      <c r="AA30" s="1214"/>
      <c r="AB30" s="1132"/>
      <c r="AC30" s="1214"/>
      <c r="AD30" s="1132"/>
      <c r="AE30" s="1214"/>
      <c r="AF30" s="1132"/>
      <c r="AG30" s="1214"/>
      <c r="AH30" s="1132"/>
      <c r="AI30" s="1214"/>
      <c r="AJ30" s="1132"/>
      <c r="AK30" s="1132"/>
      <c r="AL30" s="1132"/>
    </row>
    <row r="31" spans="1:38" s="3" customFormat="1" ht="18" x14ac:dyDescent="0.2">
      <c r="A31" s="833"/>
      <c r="B31" s="807" t="s">
        <v>757</v>
      </c>
      <c r="C31" s="872"/>
      <c r="D31" s="1082"/>
      <c r="E31" s="872" t="s">
        <v>239</v>
      </c>
      <c r="F31" s="1189"/>
      <c r="G31" s="873"/>
      <c r="H31" s="836"/>
      <c r="I31" s="973" t="s">
        <v>602</v>
      </c>
      <c r="J31" s="862"/>
      <c r="K31" s="862"/>
      <c r="L31" s="862"/>
      <c r="M31" s="985" t="s">
        <v>239</v>
      </c>
      <c r="N31" s="985"/>
      <c r="O31" s="985"/>
      <c r="P31" s="985"/>
      <c r="Q31" s="985"/>
      <c r="R31" s="985"/>
      <c r="S31" s="985"/>
      <c r="T31" s="985"/>
      <c r="U31" s="962"/>
      <c r="V31" s="835"/>
      <c r="W31" s="635"/>
      <c r="X31" s="1132"/>
      <c r="Y31" s="1214"/>
      <c r="Z31" s="1132"/>
      <c r="AA31" s="1214"/>
      <c r="AB31" s="1132"/>
      <c r="AC31" s="1214"/>
      <c r="AD31" s="1132"/>
      <c r="AE31" s="1214"/>
      <c r="AF31" s="1132"/>
      <c r="AG31" s="1214"/>
      <c r="AH31" s="1132"/>
      <c r="AI31" s="1214"/>
      <c r="AJ31" s="1132"/>
      <c r="AK31" s="1132"/>
      <c r="AL31" s="1132"/>
    </row>
    <row r="32" spans="1:38" s="3" customFormat="1" ht="17.5" x14ac:dyDescent="0.2">
      <c r="A32" s="833"/>
      <c r="B32" s="846" t="s">
        <v>726</v>
      </c>
      <c r="C32" s="1176">
        <v>0.81</v>
      </c>
      <c r="D32" s="1078"/>
      <c r="E32" s="1095" t="s">
        <v>760</v>
      </c>
      <c r="F32" s="1190"/>
      <c r="G32" s="1191"/>
      <c r="H32" s="805"/>
      <c r="I32" s="846" t="s">
        <v>551</v>
      </c>
      <c r="J32" s="860"/>
      <c r="K32" s="1196">
        <f>K33*K34/100/3.6</f>
        <v>709.46777343750011</v>
      </c>
      <c r="L32" s="1078" t="s">
        <v>520</v>
      </c>
      <c r="M32" s="983"/>
      <c r="N32" s="976"/>
      <c r="O32" s="976"/>
      <c r="P32" s="976"/>
      <c r="Q32" s="976"/>
      <c r="R32" s="976"/>
      <c r="S32" s="1039"/>
      <c r="T32" s="1235"/>
      <c r="U32" s="1073"/>
      <c r="V32" s="835"/>
      <c r="W32" s="635"/>
      <c r="X32" s="1132"/>
      <c r="Y32" s="1214"/>
      <c r="Z32" s="1132"/>
      <c r="AA32" s="1214"/>
      <c r="AB32" s="1132"/>
      <c r="AC32" s="1214"/>
      <c r="AD32" s="1132"/>
      <c r="AE32" s="1214"/>
      <c r="AF32" s="1132"/>
      <c r="AG32" s="1214"/>
      <c r="AH32" s="1132"/>
      <c r="AI32" s="1214"/>
      <c r="AJ32" s="1132"/>
      <c r="AK32" s="1132"/>
      <c r="AL32" s="1132"/>
    </row>
    <row r="33" spans="1:38" s="3" customFormat="1" ht="17.5" x14ac:dyDescent="0.2">
      <c r="A33" s="833"/>
      <c r="B33" s="846" t="s">
        <v>581</v>
      </c>
      <c r="C33" s="1177">
        <v>15</v>
      </c>
      <c r="D33" s="1078" t="s">
        <v>603</v>
      </c>
      <c r="E33" s="1103"/>
      <c r="F33" s="1190"/>
      <c r="G33" s="1191"/>
      <c r="H33" s="805"/>
      <c r="I33" s="846" t="s">
        <v>972</v>
      </c>
      <c r="J33" s="860"/>
      <c r="K33" s="1194">
        <f>入力条件の変換!G23*入力条件の変換!B11/24</f>
        <v>8513.6132812500018</v>
      </c>
      <c r="L33" s="1079" t="s">
        <v>740</v>
      </c>
      <c r="M33" s="1210" t="s">
        <v>973</v>
      </c>
      <c r="N33" s="976"/>
      <c r="O33" s="976"/>
      <c r="P33" s="976"/>
      <c r="Q33" s="976"/>
      <c r="R33" s="976"/>
      <c r="S33" s="1039"/>
      <c r="T33" s="1235"/>
      <c r="U33" s="1073"/>
      <c r="V33" s="835"/>
      <c r="W33" s="635"/>
      <c r="X33" s="1132"/>
      <c r="Y33" s="1214"/>
      <c r="Z33" s="1132"/>
      <c r="AA33" s="1214"/>
      <c r="AB33" s="1132"/>
      <c r="AC33" s="1214"/>
      <c r="AD33" s="1132"/>
      <c r="AE33" s="1214"/>
      <c r="AF33" s="1132"/>
      <c r="AG33" s="1214"/>
      <c r="AH33" s="1132"/>
      <c r="AI33" s="1214"/>
      <c r="AJ33" s="1132"/>
      <c r="AK33" s="1132"/>
      <c r="AL33" s="1132"/>
    </row>
    <row r="34" spans="1:38" s="3" customFormat="1" ht="18" thickBot="1" x14ac:dyDescent="0.25">
      <c r="A34" s="833"/>
      <c r="B34" s="965" t="s">
        <v>582</v>
      </c>
      <c r="C34" s="1178">
        <v>330</v>
      </c>
      <c r="D34" s="1105" t="s">
        <v>583</v>
      </c>
      <c r="E34" s="1104" t="s">
        <v>825</v>
      </c>
      <c r="F34" s="1042"/>
      <c r="G34" s="964"/>
      <c r="H34" s="805"/>
      <c r="I34" s="963" t="s">
        <v>727</v>
      </c>
      <c r="J34" s="974"/>
      <c r="K34" s="1195">
        <v>30</v>
      </c>
      <c r="L34" s="1092" t="s">
        <v>36</v>
      </c>
      <c r="M34" s="984"/>
      <c r="N34" s="974"/>
      <c r="O34" s="974"/>
      <c r="P34" s="974"/>
      <c r="Q34" s="974"/>
      <c r="R34" s="974"/>
      <c r="S34" s="1040"/>
      <c r="T34" s="1040"/>
      <c r="U34" s="975"/>
      <c r="V34" s="835"/>
      <c r="W34" s="635"/>
      <c r="X34" s="1132"/>
      <c r="Y34" s="1214"/>
      <c r="Z34" s="1132"/>
      <c r="AA34" s="1214"/>
      <c r="AB34" s="1132"/>
      <c r="AC34" s="1214"/>
      <c r="AD34" s="1132"/>
      <c r="AE34" s="1214"/>
      <c r="AF34" s="1132"/>
      <c r="AG34" s="1214"/>
      <c r="AH34" s="1132"/>
      <c r="AI34" s="1214"/>
      <c r="AJ34" s="1132"/>
      <c r="AK34" s="1132"/>
      <c r="AL34" s="1132"/>
    </row>
    <row r="35" spans="1:38" s="3" customFormat="1" thickBot="1" x14ac:dyDescent="0.25">
      <c r="A35" s="833"/>
      <c r="B35" s="833"/>
      <c r="C35" s="833"/>
      <c r="D35" s="833"/>
      <c r="E35" s="833"/>
      <c r="F35" s="833"/>
      <c r="G35" s="833"/>
      <c r="H35" s="805"/>
      <c r="I35" s="805"/>
      <c r="J35" s="805"/>
      <c r="K35" s="805"/>
      <c r="L35" s="805"/>
      <c r="M35" s="805"/>
      <c r="N35" s="805"/>
      <c r="O35" s="805"/>
      <c r="P35" s="805"/>
      <c r="Q35" s="805"/>
      <c r="R35" s="805"/>
      <c r="S35" s="805"/>
      <c r="T35" s="805"/>
      <c r="U35" s="805"/>
      <c r="V35" s="835"/>
      <c r="W35" s="635"/>
      <c r="X35" s="1132"/>
      <c r="Y35" s="1132"/>
      <c r="Z35" s="1132"/>
      <c r="AA35" s="1132"/>
      <c r="AB35" s="1132"/>
      <c r="AC35" s="1132"/>
      <c r="AD35" s="1132"/>
      <c r="AE35" s="1132"/>
      <c r="AF35" s="1132"/>
      <c r="AG35" s="1132"/>
      <c r="AH35" s="1132"/>
      <c r="AI35" s="1132"/>
      <c r="AJ35" s="1132"/>
      <c r="AK35" s="1132"/>
      <c r="AL35" s="1132"/>
    </row>
    <row r="36" spans="1:38" s="3" customFormat="1" ht="21.5" thickBot="1" x14ac:dyDescent="0.25">
      <c r="A36" s="833"/>
      <c r="B36" s="802" t="s">
        <v>759</v>
      </c>
      <c r="C36" s="833"/>
      <c r="D36" s="833"/>
      <c r="E36" s="833"/>
      <c r="F36" s="833"/>
      <c r="G36" s="833"/>
      <c r="H36" s="805"/>
      <c r="I36" s="973" t="s">
        <v>711</v>
      </c>
      <c r="J36" s="862"/>
      <c r="K36" s="862"/>
      <c r="L36" s="862"/>
      <c r="M36" s="985" t="s">
        <v>239</v>
      </c>
      <c r="N36" s="985"/>
      <c r="O36" s="985"/>
      <c r="P36" s="985"/>
      <c r="Q36" s="985"/>
      <c r="R36" s="985"/>
      <c r="S36" s="985"/>
      <c r="T36" s="985"/>
      <c r="U36" s="962"/>
      <c r="V36" s="835"/>
      <c r="W36" s="635"/>
      <c r="X36" s="1132"/>
      <c r="Y36" s="1132"/>
      <c r="Z36" s="1132"/>
      <c r="AA36" s="1132"/>
      <c r="AB36" s="1132"/>
      <c r="AC36" s="1132"/>
      <c r="AD36" s="1132"/>
      <c r="AE36" s="1132"/>
      <c r="AF36" s="1132"/>
      <c r="AG36" s="1132"/>
      <c r="AH36" s="1132"/>
      <c r="AI36" s="1132"/>
      <c r="AJ36" s="1132"/>
      <c r="AK36" s="1132"/>
      <c r="AL36" s="1132"/>
    </row>
    <row r="37" spans="1:38" s="3" customFormat="1" ht="18" x14ac:dyDescent="0.2">
      <c r="A37" s="833"/>
      <c r="B37" s="807" t="s">
        <v>758</v>
      </c>
      <c r="C37" s="872"/>
      <c r="D37" s="1082"/>
      <c r="E37" s="872" t="s">
        <v>239</v>
      </c>
      <c r="F37" s="1189"/>
      <c r="G37" s="873"/>
      <c r="H37" s="805"/>
      <c r="I37" s="846" t="s">
        <v>754</v>
      </c>
      <c r="J37" s="860"/>
      <c r="K37" s="1220">
        <f>SUM(K38:K39)</f>
        <v>1563.6897780339068</v>
      </c>
      <c r="L37" s="1093" t="s">
        <v>304</v>
      </c>
      <c r="M37" s="1031" t="s">
        <v>826</v>
      </c>
      <c r="N37" s="976"/>
      <c r="O37" s="976"/>
      <c r="P37" s="976"/>
      <c r="Q37" s="976"/>
      <c r="R37" s="976"/>
      <c r="S37" s="1039"/>
      <c r="T37" s="1235"/>
      <c r="U37" s="1073"/>
      <c r="V37" s="835"/>
      <c r="W37" s="635"/>
      <c r="X37" s="1132"/>
      <c r="Y37" s="1132"/>
      <c r="Z37" s="1132"/>
      <c r="AA37" s="1132"/>
      <c r="AB37" s="1132"/>
      <c r="AC37" s="1132"/>
      <c r="AD37" s="1132"/>
      <c r="AE37" s="1132"/>
      <c r="AF37" s="1132"/>
      <c r="AG37" s="1132"/>
      <c r="AH37" s="1132"/>
      <c r="AI37" s="1132"/>
      <c r="AJ37" s="1132"/>
      <c r="AK37" s="1132"/>
      <c r="AL37" s="1132"/>
    </row>
    <row r="38" spans="1:38" s="3" customFormat="1" ht="17.5" x14ac:dyDescent="0.2">
      <c r="A38" s="833"/>
      <c r="B38" s="946" t="s">
        <v>728</v>
      </c>
      <c r="C38" s="876"/>
      <c r="D38" s="1078"/>
      <c r="E38" s="1095" t="s">
        <v>976</v>
      </c>
      <c r="F38" s="1190"/>
      <c r="G38" s="1191"/>
      <c r="H38" s="805"/>
      <c r="I38" s="946" t="s">
        <v>743</v>
      </c>
      <c r="J38" s="960"/>
      <c r="K38" s="1194">
        <f>入力条件の変換!E74</f>
        <v>1172.7673335254301</v>
      </c>
      <c r="L38" s="1093" t="s">
        <v>304</v>
      </c>
      <c r="M38" s="1032" t="s">
        <v>845</v>
      </c>
      <c r="N38" s="976"/>
      <c r="O38" s="976"/>
      <c r="P38" s="976"/>
      <c r="Q38" s="976"/>
      <c r="R38" s="976"/>
      <c r="S38" s="1039"/>
      <c r="T38" s="1235"/>
      <c r="U38" s="1073"/>
      <c r="V38" s="835"/>
      <c r="W38" s="635"/>
      <c r="X38" s="1132"/>
      <c r="Y38" s="1132"/>
      <c r="Z38" s="1132"/>
      <c r="AA38" s="1132"/>
      <c r="AB38" s="1132"/>
      <c r="AC38" s="1132"/>
      <c r="AD38" s="1132"/>
      <c r="AE38" s="1132"/>
      <c r="AF38" s="1132"/>
      <c r="AG38" s="1132"/>
      <c r="AH38" s="1132"/>
      <c r="AI38" s="1132"/>
      <c r="AJ38" s="1132"/>
      <c r="AK38" s="1132"/>
      <c r="AL38" s="1132"/>
    </row>
    <row r="39" spans="1:38" s="3" customFormat="1" ht="17.5" x14ac:dyDescent="0.2">
      <c r="A39" s="833"/>
      <c r="B39" s="946" t="s">
        <v>732</v>
      </c>
      <c r="C39" s="1177"/>
      <c r="D39" s="1093" t="s">
        <v>979</v>
      </c>
      <c r="E39" s="1095" t="s">
        <v>944</v>
      </c>
      <c r="F39" s="1190"/>
      <c r="G39" s="1191"/>
      <c r="H39" s="805"/>
      <c r="I39" s="946" t="s">
        <v>744</v>
      </c>
      <c r="J39" s="961"/>
      <c r="K39" s="1194">
        <f>入力条件の変換!E75</f>
        <v>390.9224445084767</v>
      </c>
      <c r="L39" s="1093" t="s">
        <v>304</v>
      </c>
      <c r="M39" s="1032" t="s">
        <v>846</v>
      </c>
      <c r="N39" s="976"/>
      <c r="O39" s="976"/>
      <c r="P39" s="976"/>
      <c r="Q39" s="976"/>
      <c r="R39" s="976"/>
      <c r="S39" s="1039"/>
      <c r="T39" s="1235"/>
      <c r="U39" s="1073"/>
      <c r="V39" s="835"/>
      <c r="W39" s="635"/>
      <c r="X39" s="1132"/>
      <c r="Y39" s="1132"/>
      <c r="Z39" s="1132"/>
      <c r="AA39" s="1132"/>
      <c r="AB39" s="1132"/>
      <c r="AC39" s="1132"/>
      <c r="AD39" s="1132"/>
      <c r="AE39" s="1132"/>
      <c r="AF39" s="1132"/>
      <c r="AG39" s="1132"/>
      <c r="AH39" s="1132"/>
      <c r="AI39" s="1132"/>
      <c r="AJ39" s="1132"/>
      <c r="AK39" s="1132"/>
      <c r="AL39" s="1132"/>
    </row>
    <row r="40" spans="1:38" s="3" customFormat="1" ht="17.5" x14ac:dyDescent="0.2">
      <c r="A40" s="833"/>
      <c r="B40" s="946" t="s">
        <v>733</v>
      </c>
      <c r="C40" s="1177"/>
      <c r="D40" s="1093" t="s">
        <v>519</v>
      </c>
      <c r="E40" s="1103"/>
      <c r="F40" s="1190"/>
      <c r="G40" s="1191"/>
      <c r="H40" s="805"/>
      <c r="I40" s="946" t="s">
        <v>750</v>
      </c>
      <c r="J40" s="961"/>
      <c r="K40" s="883">
        <f>SUM(K41:K45)</f>
        <v>164.35951584092641</v>
      </c>
      <c r="L40" s="1093" t="s">
        <v>751</v>
      </c>
      <c r="M40" s="1031" t="s">
        <v>827</v>
      </c>
      <c r="N40" s="976"/>
      <c r="O40" s="976"/>
      <c r="P40" s="976"/>
      <c r="Q40" s="976"/>
      <c r="R40" s="976"/>
      <c r="S40" s="1039"/>
      <c r="T40" s="1235"/>
      <c r="U40" s="1073"/>
      <c r="V40" s="835"/>
      <c r="W40" s="635"/>
      <c r="X40" s="1132"/>
      <c r="Y40" s="1132"/>
      <c r="Z40" s="1132"/>
      <c r="AA40" s="1132"/>
      <c r="AB40" s="1132"/>
      <c r="AC40" s="1132"/>
      <c r="AD40" s="1132"/>
      <c r="AE40" s="1132"/>
      <c r="AF40" s="1132"/>
      <c r="AG40" s="1132"/>
      <c r="AH40" s="1132"/>
      <c r="AI40" s="1132"/>
      <c r="AJ40" s="1132"/>
      <c r="AK40" s="1132"/>
      <c r="AL40" s="1132"/>
    </row>
    <row r="41" spans="1:38" s="3" customFormat="1" ht="20.149999999999999" customHeight="1" x14ac:dyDescent="0.2">
      <c r="A41" s="833"/>
      <c r="B41" s="946" t="s">
        <v>844</v>
      </c>
      <c r="C41" s="876"/>
      <c r="D41" s="1078"/>
      <c r="E41" s="1095" t="s">
        <v>943</v>
      </c>
      <c r="F41" s="1192"/>
      <c r="G41" s="1193"/>
      <c r="H41" s="805"/>
      <c r="I41" s="946" t="s">
        <v>720</v>
      </c>
      <c r="J41" s="960"/>
      <c r="K41" s="1199">
        <f>入力条件の変換!E78</f>
        <v>57.525830544324236</v>
      </c>
      <c r="L41" s="1093" t="s">
        <v>751</v>
      </c>
      <c r="M41" s="1032" t="s">
        <v>1005</v>
      </c>
      <c r="N41" s="976"/>
      <c r="O41" s="976"/>
      <c r="P41" s="976"/>
      <c r="Q41" s="976"/>
      <c r="R41" s="976"/>
      <c r="S41" s="1039"/>
      <c r="T41" s="1235"/>
      <c r="U41" s="1073"/>
      <c r="V41" s="835"/>
      <c r="W41" s="635"/>
      <c r="X41" s="1132"/>
      <c r="Y41" s="1132"/>
      <c r="Z41" s="1132"/>
      <c r="AA41" s="1132"/>
      <c r="AB41" s="1132"/>
      <c r="AC41" s="1132"/>
      <c r="AD41" s="1132"/>
      <c r="AE41" s="1132"/>
      <c r="AF41" s="1132"/>
      <c r="AG41" s="1132"/>
      <c r="AH41" s="1132"/>
      <c r="AI41" s="1132"/>
      <c r="AJ41" s="1132"/>
      <c r="AK41" s="1132"/>
      <c r="AL41" s="1132"/>
    </row>
    <row r="42" spans="1:38" s="3" customFormat="1" ht="20.149999999999999" customHeight="1" x14ac:dyDescent="0.2">
      <c r="A42" s="833"/>
      <c r="B42" s="946" t="s">
        <v>732</v>
      </c>
      <c r="C42" s="1177"/>
      <c r="D42" s="1093" t="s">
        <v>979</v>
      </c>
      <c r="E42" s="1095" t="s">
        <v>944</v>
      </c>
      <c r="F42" s="1190"/>
      <c r="G42" s="1191"/>
      <c r="H42" s="805"/>
      <c r="I42" s="946" t="s">
        <v>721</v>
      </c>
      <c r="J42" s="960"/>
      <c r="K42" s="1199">
        <f>入力条件の変換!E79</f>
        <v>24.653927376138959</v>
      </c>
      <c r="L42" s="1093" t="s">
        <v>751</v>
      </c>
      <c r="M42" s="1032" t="s">
        <v>1006</v>
      </c>
      <c r="N42" s="976"/>
      <c r="O42" s="976"/>
      <c r="P42" s="976"/>
      <c r="Q42" s="976"/>
      <c r="R42" s="976"/>
      <c r="S42" s="1039"/>
      <c r="T42" s="1235"/>
      <c r="U42" s="1073"/>
      <c r="V42" s="835"/>
      <c r="W42" s="635"/>
      <c r="X42" s="1132"/>
      <c r="Y42" s="1132"/>
      <c r="Z42" s="1132"/>
      <c r="AA42" s="1132"/>
      <c r="AB42" s="1132"/>
      <c r="AC42" s="1132"/>
      <c r="AD42" s="1132"/>
      <c r="AE42" s="1132"/>
      <c r="AF42" s="1132"/>
      <c r="AG42" s="1132"/>
      <c r="AH42" s="1132"/>
      <c r="AI42" s="1132"/>
      <c r="AJ42" s="1132"/>
      <c r="AK42" s="1132"/>
      <c r="AL42" s="1132"/>
    </row>
    <row r="43" spans="1:38" s="3" customFormat="1" ht="20.149999999999999" customHeight="1" x14ac:dyDescent="0.2">
      <c r="A43" s="833"/>
      <c r="B43" s="946" t="s">
        <v>733</v>
      </c>
      <c r="C43" s="1177"/>
      <c r="D43" s="1093" t="s">
        <v>519</v>
      </c>
      <c r="E43" s="1103"/>
      <c r="F43" s="1190"/>
      <c r="G43" s="1191"/>
      <c r="H43" s="805"/>
      <c r="I43" s="946" t="s">
        <v>725</v>
      </c>
      <c r="J43" s="961"/>
      <c r="K43" s="1199">
        <f>入力条件の変換!E80</f>
        <v>41.089878960231601</v>
      </c>
      <c r="L43" s="1093" t="s">
        <v>751</v>
      </c>
      <c r="M43" s="1032" t="s">
        <v>1007</v>
      </c>
      <c r="N43" s="976"/>
      <c r="O43" s="976"/>
      <c r="P43" s="976"/>
      <c r="Q43" s="976"/>
      <c r="R43" s="976"/>
      <c r="S43" s="1039"/>
      <c r="T43" s="1235"/>
      <c r="U43" s="1073"/>
      <c r="V43" s="835"/>
      <c r="W43" s="635"/>
      <c r="X43" s="1132"/>
      <c r="Y43" s="1132"/>
      <c r="Z43" s="1132"/>
      <c r="AA43" s="1132"/>
      <c r="AB43" s="1132"/>
      <c r="AC43" s="1132"/>
      <c r="AD43" s="1132"/>
      <c r="AE43" s="1132"/>
      <c r="AF43" s="1132"/>
      <c r="AG43" s="1132"/>
      <c r="AH43" s="1132"/>
      <c r="AI43" s="1132"/>
      <c r="AJ43" s="1132"/>
      <c r="AK43" s="1132"/>
      <c r="AL43" s="1132"/>
    </row>
    <row r="44" spans="1:38" s="3" customFormat="1" ht="20.149999999999999" customHeight="1" x14ac:dyDescent="0.2">
      <c r="A44" s="833"/>
      <c r="B44" s="1236" t="s">
        <v>729</v>
      </c>
      <c r="C44" s="876"/>
      <c r="D44" s="1078"/>
      <c r="E44" s="1103"/>
      <c r="F44" s="1190"/>
      <c r="G44" s="1191"/>
      <c r="H44" s="805"/>
      <c r="I44" s="946" t="s">
        <v>722</v>
      </c>
      <c r="J44" s="961"/>
      <c r="K44" s="1199">
        <f>入力条件の変換!E81</f>
        <v>24.653927376138959</v>
      </c>
      <c r="L44" s="1093" t="s">
        <v>751</v>
      </c>
      <c r="M44" s="1032" t="s">
        <v>1004</v>
      </c>
      <c r="N44" s="976"/>
      <c r="O44" s="976"/>
      <c r="P44" s="976"/>
      <c r="Q44" s="976"/>
      <c r="R44" s="976"/>
      <c r="S44" s="1039"/>
      <c r="T44" s="1235"/>
      <c r="U44" s="1073"/>
      <c r="V44" s="835"/>
      <c r="W44" s="635"/>
      <c r="X44" s="1132"/>
      <c r="Y44" s="1132"/>
      <c r="Z44" s="1132"/>
      <c r="AA44" s="1132"/>
      <c r="AB44" s="1132"/>
      <c r="AC44" s="1132"/>
      <c r="AD44" s="1132"/>
      <c r="AE44" s="1132"/>
      <c r="AF44" s="1132"/>
      <c r="AG44" s="1132"/>
      <c r="AH44" s="1132"/>
      <c r="AI44" s="1132"/>
      <c r="AJ44" s="1132"/>
      <c r="AK44" s="1132"/>
      <c r="AL44" s="1132"/>
    </row>
    <row r="45" spans="1:38" s="3" customFormat="1" ht="20.149999999999999" customHeight="1" thickBot="1" x14ac:dyDescent="0.25">
      <c r="A45" s="833"/>
      <c r="B45" s="946" t="s">
        <v>732</v>
      </c>
      <c r="C45" s="1177"/>
      <c r="D45" s="1184" t="s">
        <v>1009</v>
      </c>
      <c r="E45" s="1103"/>
      <c r="F45" s="1190"/>
      <c r="G45" s="1191"/>
      <c r="H45" s="805"/>
      <c r="I45" s="963" t="s">
        <v>723</v>
      </c>
      <c r="J45" s="972"/>
      <c r="K45" s="1200">
        <f>入力条件の変換!E82</f>
        <v>16.435951584092642</v>
      </c>
      <c r="L45" s="1094" t="s">
        <v>751</v>
      </c>
      <c r="M45" s="1033" t="s">
        <v>1008</v>
      </c>
      <c r="N45" s="986"/>
      <c r="O45" s="986"/>
      <c r="P45" s="986"/>
      <c r="Q45" s="986"/>
      <c r="R45" s="986"/>
      <c r="S45" s="1040"/>
      <c r="T45" s="1040"/>
      <c r="U45" s="975"/>
      <c r="V45" s="835"/>
      <c r="W45" s="635"/>
      <c r="X45" s="1132"/>
      <c r="Y45" s="1132"/>
      <c r="Z45" s="1132"/>
      <c r="AA45" s="1132"/>
      <c r="AB45" s="1132"/>
      <c r="AC45" s="1132"/>
      <c r="AD45" s="1132"/>
      <c r="AE45" s="1132"/>
      <c r="AF45" s="1132"/>
      <c r="AG45" s="1132"/>
      <c r="AH45" s="1132"/>
      <c r="AI45" s="1132"/>
      <c r="AJ45" s="1132"/>
      <c r="AK45" s="1132"/>
      <c r="AL45" s="1132"/>
    </row>
    <row r="46" spans="1:38" ht="20.149999999999999" customHeight="1" thickBot="1" x14ac:dyDescent="0.25">
      <c r="A46" s="837"/>
      <c r="B46" s="946" t="s">
        <v>733</v>
      </c>
      <c r="C46" s="1177"/>
      <c r="D46" s="1185" t="s">
        <v>734</v>
      </c>
      <c r="E46" s="1103"/>
      <c r="F46" s="1190"/>
      <c r="G46" s="1191"/>
      <c r="H46" s="805"/>
      <c r="I46" s="805"/>
      <c r="J46" s="805"/>
      <c r="K46" s="805"/>
      <c r="L46" s="805"/>
      <c r="M46" s="805"/>
      <c r="N46" s="805"/>
      <c r="O46" s="805"/>
      <c r="P46" s="805"/>
      <c r="Q46" s="805"/>
      <c r="R46" s="805"/>
      <c r="S46" s="805"/>
      <c r="T46" s="805"/>
      <c r="U46" s="805"/>
      <c r="V46" s="838"/>
      <c r="W46" s="636"/>
      <c r="X46" s="1132"/>
      <c r="Y46" s="1132"/>
      <c r="Z46" s="1132"/>
      <c r="AB46" s="1132"/>
      <c r="AC46" s="1132"/>
      <c r="AD46" s="1132"/>
      <c r="AE46" s="1132"/>
    </row>
    <row r="47" spans="1:38" ht="20.149999999999999" customHeight="1" x14ac:dyDescent="0.2">
      <c r="A47" s="837"/>
      <c r="B47" s="1236" t="s">
        <v>730</v>
      </c>
      <c r="C47" s="876"/>
      <c r="D47" s="1078"/>
      <c r="E47" s="1103"/>
      <c r="F47" s="1190"/>
      <c r="G47" s="1191"/>
      <c r="H47" s="805"/>
      <c r="I47" s="861" t="s">
        <v>711</v>
      </c>
      <c r="J47" s="862"/>
      <c r="K47" s="862"/>
      <c r="L47" s="862"/>
      <c r="M47" s="985" t="s">
        <v>239</v>
      </c>
      <c r="N47" s="985"/>
      <c r="O47" s="985"/>
      <c r="P47" s="985"/>
      <c r="Q47" s="985"/>
      <c r="R47" s="985"/>
      <c r="S47" s="985"/>
      <c r="T47" s="985"/>
      <c r="U47" s="962"/>
      <c r="V47" s="838"/>
      <c r="W47" s="636"/>
      <c r="X47" s="1132"/>
      <c r="Y47" s="1132"/>
      <c r="Z47" s="1132"/>
      <c r="AB47" s="1132"/>
      <c r="AC47" s="1132"/>
      <c r="AD47" s="1132"/>
      <c r="AE47" s="1132"/>
    </row>
    <row r="48" spans="1:38" ht="20.149999999999999" customHeight="1" x14ac:dyDescent="0.2">
      <c r="A48" s="837"/>
      <c r="B48" s="946" t="s">
        <v>732</v>
      </c>
      <c r="C48" s="1177"/>
      <c r="D48" s="1184" t="s">
        <v>980</v>
      </c>
      <c r="E48" s="1103"/>
      <c r="F48" s="1190"/>
      <c r="G48" s="1191"/>
      <c r="H48" s="805"/>
      <c r="I48" s="946" t="s">
        <v>446</v>
      </c>
      <c r="J48" s="961"/>
      <c r="K48" s="1177"/>
      <c r="L48" s="1093" t="s">
        <v>304</v>
      </c>
      <c r="M48" s="1095" t="s">
        <v>835</v>
      </c>
      <c r="N48" s="948"/>
      <c r="O48" s="948"/>
      <c r="P48" s="948"/>
      <c r="Q48" s="948"/>
      <c r="R48" s="948"/>
      <c r="S48" s="1041"/>
      <c r="T48" s="1190"/>
      <c r="U48" s="1191"/>
      <c r="V48" s="838"/>
      <c r="W48" s="636"/>
      <c r="X48" s="1132"/>
      <c r="Y48" s="1132"/>
      <c r="Z48" s="1132"/>
      <c r="AB48" s="1132"/>
      <c r="AC48" s="1132"/>
      <c r="AD48" s="1132"/>
      <c r="AE48" s="1132"/>
    </row>
    <row r="49" spans="1:37" ht="20.149999999999999" customHeight="1" x14ac:dyDescent="0.2">
      <c r="A49" s="837"/>
      <c r="B49" s="946" t="s">
        <v>733</v>
      </c>
      <c r="C49" s="1177"/>
      <c r="D49" s="1185" t="s">
        <v>734</v>
      </c>
      <c r="E49" s="1103"/>
      <c r="F49" s="1190"/>
      <c r="G49" s="1191"/>
      <c r="H49" s="805"/>
      <c r="I49" s="947" t="s">
        <v>669</v>
      </c>
      <c r="J49" s="961"/>
      <c r="K49" s="1177">
        <v>1000</v>
      </c>
      <c r="L49" s="1097" t="s">
        <v>304</v>
      </c>
      <c r="M49" s="1095" t="s">
        <v>836</v>
      </c>
      <c r="N49" s="948"/>
      <c r="O49" s="948"/>
      <c r="P49" s="948"/>
      <c r="Q49" s="948"/>
      <c r="R49" s="948"/>
      <c r="S49" s="1041"/>
      <c r="T49" s="1190"/>
      <c r="U49" s="1191"/>
      <c r="V49" s="838"/>
      <c r="W49" s="636"/>
      <c r="X49" s="1132"/>
      <c r="Y49" s="1132"/>
      <c r="Z49" s="1132"/>
      <c r="AB49" s="1132"/>
      <c r="AC49" s="1132"/>
      <c r="AD49" s="1132"/>
      <c r="AE49" s="1132"/>
    </row>
    <row r="50" spans="1:37" ht="20.149999999999999" customHeight="1" x14ac:dyDescent="0.2">
      <c r="A50" s="837"/>
      <c r="B50" s="1236" t="s">
        <v>731</v>
      </c>
      <c r="C50" s="876"/>
      <c r="D50" s="1078"/>
      <c r="E50" s="1103"/>
      <c r="F50" s="1190"/>
      <c r="G50" s="1191"/>
      <c r="H50" s="805"/>
      <c r="I50" s="949" t="s">
        <v>697</v>
      </c>
      <c r="J50" s="961"/>
      <c r="K50" s="1206">
        <v>0.01</v>
      </c>
      <c r="L50" s="1098"/>
      <c r="M50" s="1095" t="s">
        <v>837</v>
      </c>
      <c r="N50" s="948"/>
      <c r="O50" s="948"/>
      <c r="P50" s="948"/>
      <c r="Q50" s="948"/>
      <c r="R50" s="948"/>
      <c r="S50" s="1041"/>
      <c r="T50" s="1190"/>
      <c r="U50" s="1191"/>
      <c r="V50" s="838"/>
      <c r="W50" s="636"/>
      <c r="X50" s="1132"/>
      <c r="Y50" s="1132"/>
      <c r="Z50" s="1132"/>
      <c r="AB50" s="1132"/>
      <c r="AC50" s="1132"/>
      <c r="AD50" s="1132"/>
      <c r="AE50" s="1132"/>
    </row>
    <row r="51" spans="1:37" ht="20.149999999999999" customHeight="1" x14ac:dyDescent="0.2">
      <c r="A51" s="837"/>
      <c r="B51" s="946" t="s">
        <v>732</v>
      </c>
      <c r="C51" s="1177">
        <v>500</v>
      </c>
      <c r="D51" s="1184" t="s">
        <v>980</v>
      </c>
      <c r="E51" s="1103"/>
      <c r="F51" s="1190"/>
      <c r="G51" s="1191"/>
      <c r="H51" s="805"/>
      <c r="I51" s="949" t="s">
        <v>698</v>
      </c>
      <c r="J51" s="961"/>
      <c r="K51" s="1207">
        <v>20</v>
      </c>
      <c r="L51" s="1099" t="s">
        <v>132</v>
      </c>
      <c r="M51" s="1095" t="s">
        <v>838</v>
      </c>
      <c r="N51" s="948"/>
      <c r="O51" s="948"/>
      <c r="P51" s="948"/>
      <c r="Q51" s="948"/>
      <c r="R51" s="948"/>
      <c r="S51" s="1041"/>
      <c r="T51" s="1190"/>
      <c r="U51" s="1191"/>
      <c r="V51" s="838"/>
      <c r="W51" s="636"/>
      <c r="X51" s="1132"/>
      <c r="Y51" s="1132"/>
      <c r="Z51" s="1132"/>
      <c r="AB51" s="1132"/>
      <c r="AC51" s="1132"/>
      <c r="AD51" s="1132"/>
      <c r="AE51" s="1132"/>
    </row>
    <row r="52" spans="1:37" ht="20.149999999999999" customHeight="1" thickBot="1" x14ac:dyDescent="0.25">
      <c r="A52" s="837"/>
      <c r="B52" s="963" t="s">
        <v>733</v>
      </c>
      <c r="C52" s="1179">
        <v>2</v>
      </c>
      <c r="D52" s="1186" t="s">
        <v>734</v>
      </c>
      <c r="E52" s="1104"/>
      <c r="F52" s="1042"/>
      <c r="G52" s="964"/>
      <c r="H52" s="805"/>
      <c r="I52" s="947" t="s">
        <v>670</v>
      </c>
      <c r="J52" s="961"/>
      <c r="K52" s="1177"/>
      <c r="L52" s="1100" t="s">
        <v>304</v>
      </c>
      <c r="M52" s="1095" t="s">
        <v>839</v>
      </c>
      <c r="N52" s="948"/>
      <c r="O52" s="948"/>
      <c r="P52" s="948"/>
      <c r="Q52" s="948"/>
      <c r="R52" s="948"/>
      <c r="S52" s="1041"/>
      <c r="T52" s="1190"/>
      <c r="U52" s="1191"/>
      <c r="V52" s="838"/>
      <c r="W52" s="636"/>
      <c r="X52" s="1132"/>
      <c r="Y52" s="1132"/>
      <c r="Z52" s="1132"/>
      <c r="AB52" s="1132"/>
      <c r="AC52" s="1132"/>
      <c r="AD52" s="1132"/>
      <c r="AE52" s="1132"/>
    </row>
    <row r="53" spans="1:37" ht="20.149999999999999" customHeight="1" x14ac:dyDescent="0.2">
      <c r="A53" s="837"/>
      <c r="B53" s="837"/>
      <c r="C53" s="837"/>
      <c r="D53" s="837"/>
      <c r="E53" s="837"/>
      <c r="F53" s="837"/>
      <c r="G53" s="837"/>
      <c r="H53" s="805"/>
      <c r="I53" s="949" t="s">
        <v>699</v>
      </c>
      <c r="J53" s="961"/>
      <c r="K53" s="1206">
        <v>0.01</v>
      </c>
      <c r="L53" s="1100"/>
      <c r="M53" s="1095" t="s">
        <v>837</v>
      </c>
      <c r="N53" s="948"/>
      <c r="O53" s="948"/>
      <c r="P53" s="948"/>
      <c r="Q53" s="948"/>
      <c r="R53" s="948"/>
      <c r="S53" s="1041"/>
      <c r="T53" s="1190"/>
      <c r="U53" s="1191"/>
      <c r="V53" s="838"/>
      <c r="W53" s="636"/>
      <c r="X53" s="1132"/>
      <c r="Y53" s="1132"/>
      <c r="Z53" s="1132"/>
      <c r="AB53" s="1132"/>
      <c r="AC53" s="1132"/>
      <c r="AD53" s="1132"/>
      <c r="AE53" s="1132"/>
    </row>
    <row r="54" spans="1:37" ht="20.149999999999999" customHeight="1" thickBot="1" x14ac:dyDescent="0.25">
      <c r="A54" s="837"/>
      <c r="B54" s="837"/>
      <c r="C54" s="837"/>
      <c r="D54" s="837"/>
      <c r="E54" s="837"/>
      <c r="F54" s="837"/>
      <c r="G54" s="837"/>
      <c r="H54" s="805"/>
      <c r="I54" s="950" t="s">
        <v>700</v>
      </c>
      <c r="J54" s="972"/>
      <c r="K54" s="1208">
        <v>20</v>
      </c>
      <c r="L54" s="1101" t="s">
        <v>132</v>
      </c>
      <c r="M54" s="1096" t="s">
        <v>838</v>
      </c>
      <c r="N54" s="987"/>
      <c r="O54" s="987"/>
      <c r="P54" s="987"/>
      <c r="Q54" s="987"/>
      <c r="R54" s="987"/>
      <c r="S54" s="1042"/>
      <c r="T54" s="1042"/>
      <c r="U54" s="964"/>
      <c r="V54" s="838"/>
      <c r="W54" s="636"/>
      <c r="X54" s="1132"/>
      <c r="Y54" s="1132"/>
      <c r="Z54" s="1132"/>
      <c r="AB54" s="1132"/>
      <c r="AC54" s="1132"/>
      <c r="AD54" s="1132"/>
      <c r="AE54" s="1132"/>
    </row>
    <row r="55" spans="1:37" ht="20.149999999999999" customHeight="1" x14ac:dyDescent="0.2">
      <c r="A55" s="837"/>
      <c r="B55" s="837"/>
      <c r="C55" s="837"/>
      <c r="D55" s="837"/>
      <c r="E55" s="837"/>
      <c r="F55" s="837"/>
      <c r="G55" s="837"/>
      <c r="H55" s="805"/>
      <c r="I55" s="837"/>
      <c r="J55" s="837"/>
      <c r="K55" s="837"/>
      <c r="L55" s="837"/>
      <c r="M55" s="795"/>
      <c r="N55" s="805"/>
      <c r="O55" s="805"/>
      <c r="P55" s="805"/>
      <c r="Q55" s="805"/>
      <c r="R55" s="805"/>
      <c r="S55" s="805"/>
      <c r="T55" s="805"/>
      <c r="U55" s="805"/>
      <c r="V55" s="838"/>
      <c r="W55" s="636"/>
      <c r="X55" s="1132"/>
      <c r="Y55" s="1132"/>
      <c r="Z55" s="1132"/>
      <c r="AB55" s="1132"/>
      <c r="AC55" s="1132"/>
      <c r="AD55" s="1132"/>
      <c r="AE55" s="1132"/>
    </row>
    <row r="56" spans="1:37" ht="33" customHeight="1" x14ac:dyDescent="0.2">
      <c r="A56" s="634"/>
      <c r="B56" s="1071" t="s">
        <v>876</v>
      </c>
      <c r="C56" s="631"/>
      <c r="D56" s="632"/>
      <c r="E56" s="631"/>
      <c r="F56" s="632"/>
      <c r="G56" s="632"/>
      <c r="H56" s="633"/>
      <c r="I56" s="633"/>
      <c r="J56" s="633"/>
      <c r="K56" s="633"/>
      <c r="L56" s="633"/>
      <c r="M56" s="633"/>
      <c r="N56" s="633"/>
      <c r="O56" s="634"/>
      <c r="P56" s="634"/>
      <c r="Q56" s="634"/>
      <c r="R56" s="634"/>
      <c r="S56" s="634"/>
      <c r="T56" s="634"/>
      <c r="U56" s="634"/>
      <c r="V56" s="634"/>
      <c r="W56" s="636"/>
      <c r="X56" s="1132"/>
      <c r="Y56" s="1132"/>
      <c r="Z56" s="1132"/>
      <c r="AB56" s="1132"/>
      <c r="AC56" s="1132"/>
      <c r="AD56" s="1132"/>
      <c r="AE56" s="1132"/>
    </row>
    <row r="57" spans="1:37" x14ac:dyDescent="0.2">
      <c r="A57" s="837"/>
      <c r="B57" s="837"/>
      <c r="C57" s="837"/>
      <c r="D57" s="837"/>
      <c r="E57" s="837"/>
      <c r="F57" s="837"/>
      <c r="G57" s="837"/>
      <c r="H57" s="805"/>
      <c r="I57" s="805"/>
      <c r="J57" s="805"/>
      <c r="K57" s="805"/>
      <c r="L57" s="805"/>
      <c r="M57" s="838"/>
      <c r="N57" s="838"/>
      <c r="O57" s="838"/>
      <c r="P57" s="838"/>
      <c r="Q57" s="838"/>
      <c r="R57" s="838"/>
      <c r="S57" s="838"/>
      <c r="T57" s="838"/>
      <c r="U57" s="838"/>
      <c r="V57" s="838"/>
      <c r="W57" s="636"/>
      <c r="X57" s="1130"/>
      <c r="Y57" s="1130"/>
      <c r="Z57" s="1130"/>
      <c r="AA57" s="1131"/>
      <c r="AB57" s="1130"/>
      <c r="AC57" s="1130"/>
      <c r="AD57" s="1130"/>
      <c r="AE57" s="1130"/>
      <c r="AF57" s="1131"/>
      <c r="AG57" s="1131"/>
      <c r="AH57" s="1155"/>
      <c r="AI57" s="1131"/>
      <c r="AJ57" s="1131"/>
      <c r="AK57" s="1131"/>
    </row>
    <row r="58" spans="1:37" ht="21.5" thickBot="1" x14ac:dyDescent="0.25">
      <c r="A58" s="837"/>
      <c r="B58" s="830" t="s">
        <v>961</v>
      </c>
      <c r="C58" s="837"/>
      <c r="D58" s="837"/>
      <c r="E58" s="837"/>
      <c r="F58" s="837"/>
      <c r="G58" s="837"/>
      <c r="H58" s="805"/>
      <c r="I58" s="805"/>
      <c r="J58" s="805"/>
      <c r="K58" s="805"/>
      <c r="L58" s="805"/>
      <c r="M58" s="838"/>
      <c r="N58" s="838"/>
      <c r="O58" s="838"/>
      <c r="P58" s="838"/>
      <c r="Q58" s="838"/>
      <c r="R58" s="838"/>
      <c r="S58" s="838"/>
      <c r="T58" s="838"/>
      <c r="U58" s="838"/>
      <c r="V58" s="838"/>
      <c r="W58" s="636"/>
      <c r="X58" s="1130"/>
      <c r="Y58" s="1130"/>
      <c r="Z58" s="1130"/>
      <c r="AA58" s="1131"/>
      <c r="AB58" s="1130"/>
      <c r="AC58" s="1130"/>
      <c r="AD58" s="1130"/>
      <c r="AE58" s="1130"/>
      <c r="AF58" s="1131"/>
      <c r="AG58" s="1131"/>
      <c r="AH58" s="1155"/>
      <c r="AI58" s="1131"/>
      <c r="AJ58" s="1131"/>
      <c r="AK58" s="1131"/>
    </row>
    <row r="59" spans="1:37" ht="18" x14ac:dyDescent="0.2">
      <c r="A59" s="837"/>
      <c r="B59" s="863"/>
      <c r="C59" s="864" t="s">
        <v>288</v>
      </c>
      <c r="D59" s="864" t="s">
        <v>289</v>
      </c>
      <c r="E59" s="865" t="s">
        <v>588</v>
      </c>
      <c r="F59" s="837"/>
      <c r="G59" s="837"/>
      <c r="H59" s="805"/>
      <c r="M59" s="838"/>
      <c r="N59" s="1303" t="s">
        <v>1088</v>
      </c>
      <c r="O59" s="1037"/>
      <c r="P59" s="1037"/>
      <c r="Q59" s="850"/>
      <c r="R59" s="850"/>
      <c r="S59" s="850"/>
      <c r="T59" s="850"/>
      <c r="U59" s="851"/>
      <c r="V59" s="838"/>
      <c r="W59" s="636"/>
      <c r="X59" s="1130"/>
      <c r="Y59" s="1130"/>
      <c r="Z59" s="1130"/>
      <c r="AA59" s="1131"/>
      <c r="AB59" s="1130"/>
      <c r="AC59" s="1130"/>
      <c r="AD59" s="1130"/>
      <c r="AE59" s="1130"/>
      <c r="AF59" s="1131"/>
      <c r="AG59" s="1131"/>
      <c r="AH59" s="1155"/>
      <c r="AI59" s="1131"/>
      <c r="AJ59" s="1131"/>
      <c r="AK59" s="1131"/>
    </row>
    <row r="60" spans="1:37" ht="17.5" x14ac:dyDescent="0.2">
      <c r="A60" s="837"/>
      <c r="B60" s="1083" t="s">
        <v>269</v>
      </c>
      <c r="C60" s="1218">
        <f>計算シート!AI203/1000000/20</f>
        <v>68.270664902343768</v>
      </c>
      <c r="D60" s="1218"/>
      <c r="E60" s="1084" t="s">
        <v>587</v>
      </c>
      <c r="F60" s="837"/>
      <c r="G60" s="837"/>
      <c r="H60" s="805"/>
      <c r="M60" s="838"/>
      <c r="N60" s="852" t="s">
        <v>1099</v>
      </c>
      <c r="O60" s="848"/>
      <c r="P60" s="848"/>
      <c r="Q60" s="848"/>
      <c r="R60" s="848"/>
      <c r="S60" s="848"/>
      <c r="T60" s="848"/>
      <c r="U60" s="853"/>
      <c r="V60" s="838"/>
      <c r="W60" s="636"/>
      <c r="X60" s="1130"/>
      <c r="Y60" s="1130"/>
      <c r="Z60" s="1130"/>
      <c r="AA60" s="1131"/>
      <c r="AB60" s="1130"/>
      <c r="AC60" s="1130"/>
      <c r="AD60" s="1130"/>
      <c r="AE60" s="1130"/>
      <c r="AF60" s="1131"/>
      <c r="AG60" s="1131"/>
      <c r="AH60" s="1155"/>
      <c r="AI60" s="1131"/>
      <c r="AJ60" s="1131"/>
      <c r="AK60" s="1131"/>
    </row>
    <row r="61" spans="1:37" ht="17.5" x14ac:dyDescent="0.2">
      <c r="A61" s="837"/>
      <c r="B61" s="1083" t="s">
        <v>606</v>
      </c>
      <c r="C61" s="1218">
        <f>-計算シート!AI214/1000000/20</f>
        <v>231</v>
      </c>
      <c r="D61" s="1218"/>
      <c r="E61" s="1084" t="s">
        <v>587</v>
      </c>
      <c r="F61" s="837"/>
      <c r="G61" s="837"/>
      <c r="H61" s="805"/>
      <c r="M61" s="838"/>
      <c r="N61" s="852" t="s">
        <v>1089</v>
      </c>
      <c r="O61" s="848"/>
      <c r="P61" s="848"/>
      <c r="Q61" s="848"/>
      <c r="R61" s="848"/>
      <c r="S61" s="848"/>
      <c r="T61" s="848"/>
      <c r="U61" s="853"/>
      <c r="V61" s="838"/>
      <c r="W61" s="636"/>
      <c r="X61" s="1130"/>
      <c r="Y61" s="1130"/>
      <c r="Z61" s="1130"/>
      <c r="AA61" s="1131"/>
      <c r="AB61" s="1130"/>
      <c r="AC61" s="1130"/>
      <c r="AD61" s="1130"/>
      <c r="AE61" s="1130"/>
      <c r="AF61" s="1131"/>
      <c r="AG61" s="1131"/>
      <c r="AH61" s="1155"/>
      <c r="AI61" s="1131"/>
      <c r="AJ61" s="1131"/>
      <c r="AK61" s="1131"/>
    </row>
    <row r="62" spans="1:37" ht="17.5" x14ac:dyDescent="0.2">
      <c r="A62" s="837"/>
      <c r="B62" s="1083" t="s">
        <v>942</v>
      </c>
      <c r="C62" s="1218">
        <f>SUM(計算シート!AI206:AI210)/1000000/20</f>
        <v>0.32999999999999996</v>
      </c>
      <c r="D62" s="1218"/>
      <c r="E62" s="1084" t="s">
        <v>587</v>
      </c>
      <c r="F62" s="837"/>
      <c r="G62" s="837"/>
      <c r="H62" s="805"/>
      <c r="M62" s="838"/>
      <c r="N62" s="852" t="s">
        <v>1118</v>
      </c>
      <c r="O62" s="848"/>
      <c r="P62" s="848"/>
      <c r="Q62" s="848"/>
      <c r="R62" s="848"/>
      <c r="S62" s="848"/>
      <c r="T62" s="848"/>
      <c r="U62" s="853"/>
      <c r="V62" s="838"/>
      <c r="W62" s="636"/>
      <c r="X62" s="1130"/>
      <c r="Y62" s="1130"/>
      <c r="Z62" s="1130"/>
      <c r="AA62" s="1131"/>
      <c r="AB62" s="1130"/>
      <c r="AC62" s="1130"/>
      <c r="AD62" s="1130"/>
      <c r="AE62" s="1130"/>
      <c r="AF62" s="1131"/>
      <c r="AG62" s="1131"/>
      <c r="AH62" s="1155"/>
      <c r="AI62" s="1131"/>
      <c r="AJ62" s="1131"/>
      <c r="AK62" s="1131"/>
    </row>
    <row r="63" spans="1:37" ht="17.5" x14ac:dyDescent="0.2">
      <c r="A63" s="837"/>
      <c r="B63" s="1083" t="s">
        <v>68</v>
      </c>
      <c r="C63" s="1218">
        <f>計算シート!AI211/1000000/20</f>
        <v>0</v>
      </c>
      <c r="D63" s="1218"/>
      <c r="E63" s="1084" t="s">
        <v>587</v>
      </c>
      <c r="F63" s="837"/>
      <c r="G63" s="837"/>
      <c r="H63" s="805"/>
      <c r="M63" s="838"/>
      <c r="N63" s="852" t="s">
        <v>1090</v>
      </c>
      <c r="O63" s="848"/>
      <c r="P63" s="848"/>
      <c r="Q63" s="848"/>
      <c r="R63" s="848"/>
      <c r="S63" s="848"/>
      <c r="T63" s="848"/>
      <c r="U63" s="853"/>
      <c r="V63" s="838"/>
      <c r="W63" s="636"/>
      <c r="X63" s="1130"/>
      <c r="Y63" s="1130"/>
      <c r="Z63" s="1130"/>
      <c r="AA63" s="1131"/>
      <c r="AB63" s="1130"/>
      <c r="AC63" s="1130"/>
      <c r="AD63" s="1130"/>
      <c r="AE63" s="1130"/>
      <c r="AF63" s="1131"/>
      <c r="AG63" s="1131"/>
      <c r="AH63" s="1155"/>
      <c r="AI63" s="1131"/>
      <c r="AJ63" s="1131"/>
      <c r="AK63" s="1131"/>
    </row>
    <row r="64" spans="1:37" ht="17.5" x14ac:dyDescent="0.2">
      <c r="A64" s="837"/>
      <c r="B64" s="1083" t="s">
        <v>584</v>
      </c>
      <c r="C64" s="1218"/>
      <c r="D64" s="1218">
        <f>計算シート!AI215/1000000/20</f>
        <v>58.638366676271502</v>
      </c>
      <c r="E64" s="1084" t="s">
        <v>587</v>
      </c>
      <c r="F64" s="837"/>
      <c r="G64" s="837"/>
      <c r="H64" s="805"/>
      <c r="M64" s="838"/>
      <c r="N64" s="852" t="s">
        <v>1100</v>
      </c>
      <c r="O64" s="848"/>
      <c r="P64" s="848"/>
      <c r="Q64" s="848"/>
      <c r="R64" s="848"/>
      <c r="S64" s="848"/>
      <c r="T64" s="848"/>
      <c r="U64" s="853"/>
      <c r="V64" s="838"/>
      <c r="W64" s="636"/>
      <c r="X64" s="1130"/>
      <c r="Y64" s="1130"/>
      <c r="Z64" s="1130"/>
      <c r="AA64" s="1131"/>
      <c r="AB64" s="1130"/>
      <c r="AC64" s="1130"/>
      <c r="AD64" s="1130"/>
      <c r="AE64" s="1130"/>
      <c r="AF64" s="1131"/>
      <c r="AG64" s="1131"/>
      <c r="AH64" s="1155"/>
      <c r="AI64" s="1131"/>
      <c r="AJ64" s="1131"/>
      <c r="AK64" s="1131"/>
    </row>
    <row r="65" spans="1:37" ht="17.5" x14ac:dyDescent="0.2">
      <c r="A65" s="837"/>
      <c r="B65" s="1083" t="s">
        <v>577</v>
      </c>
      <c r="C65" s="1218"/>
      <c r="D65" s="1218">
        <f>計算シート!AI216/1000000/20</f>
        <v>19.546122225423836</v>
      </c>
      <c r="E65" s="1084" t="s">
        <v>587</v>
      </c>
      <c r="F65" s="837"/>
      <c r="G65" s="837"/>
      <c r="H65" s="805"/>
      <c r="M65" s="838"/>
      <c r="N65" s="852" t="s">
        <v>1091</v>
      </c>
      <c r="O65" s="848"/>
      <c r="P65" s="848"/>
      <c r="Q65" s="848"/>
      <c r="R65" s="848"/>
      <c r="S65" s="848"/>
      <c r="T65" s="848"/>
      <c r="U65" s="853"/>
      <c r="V65" s="838"/>
      <c r="W65" s="636"/>
      <c r="X65" s="1130"/>
      <c r="Y65" s="1130"/>
      <c r="Z65" s="1130"/>
      <c r="AA65" s="1131"/>
      <c r="AB65" s="1130"/>
      <c r="AC65" s="1130"/>
      <c r="AD65" s="1130"/>
      <c r="AE65" s="1130"/>
      <c r="AF65" s="1131"/>
      <c r="AG65" s="1131"/>
      <c r="AH65" s="1155"/>
      <c r="AI65" s="1131"/>
      <c r="AJ65" s="1131"/>
      <c r="AK65" s="1131"/>
    </row>
    <row r="66" spans="1:37" ht="17.5" x14ac:dyDescent="0.2">
      <c r="A66" s="837"/>
      <c r="B66" s="1083" t="s">
        <v>752</v>
      </c>
      <c r="C66" s="1218"/>
      <c r="D66" s="1218">
        <f>計算シート!AI217/1000000/20</f>
        <v>57.525830544324243</v>
      </c>
      <c r="E66" s="1084" t="s">
        <v>587</v>
      </c>
      <c r="F66" s="837"/>
      <c r="G66" s="837"/>
      <c r="H66" s="839"/>
      <c r="M66" s="838"/>
      <c r="N66" s="852" t="s">
        <v>1101</v>
      </c>
      <c r="O66" s="848"/>
      <c r="P66" s="848"/>
      <c r="Q66" s="848"/>
      <c r="R66" s="848"/>
      <c r="S66" s="848"/>
      <c r="T66" s="848"/>
      <c r="U66" s="853"/>
      <c r="V66" s="838"/>
      <c r="W66" s="636"/>
      <c r="X66" s="1130"/>
      <c r="Y66" s="1130"/>
      <c r="Z66" s="1130"/>
      <c r="AA66" s="1131"/>
      <c r="AB66" s="1130"/>
      <c r="AC66" s="1130"/>
      <c r="AD66" s="1130"/>
      <c r="AE66" s="1130"/>
      <c r="AF66" s="1131"/>
      <c r="AG66" s="1131"/>
      <c r="AH66" s="1155"/>
      <c r="AI66" s="1131"/>
      <c r="AJ66" s="1131"/>
      <c r="AK66" s="1131"/>
    </row>
    <row r="67" spans="1:37" ht="17.5" x14ac:dyDescent="0.2">
      <c r="A67" s="837"/>
      <c r="B67" s="1083" t="s">
        <v>214</v>
      </c>
      <c r="C67" s="1218"/>
      <c r="D67" s="1218">
        <f>計算シート!AI218/1000000/20</f>
        <v>24.65392737613897</v>
      </c>
      <c r="E67" s="1084" t="s">
        <v>587</v>
      </c>
      <c r="F67" s="837"/>
      <c r="G67" s="837"/>
      <c r="H67" s="839"/>
      <c r="M67" s="838"/>
      <c r="N67" s="852" t="s">
        <v>1102</v>
      </c>
      <c r="O67" s="848"/>
      <c r="P67" s="848"/>
      <c r="Q67" s="848"/>
      <c r="R67" s="848"/>
      <c r="S67" s="848"/>
      <c r="T67" s="848"/>
      <c r="U67" s="853"/>
      <c r="V67" s="838"/>
      <c r="W67" s="636"/>
      <c r="X67" s="1130"/>
      <c r="Y67" s="1130"/>
      <c r="Z67" s="1130"/>
      <c r="AA67" s="1131"/>
      <c r="AB67" s="1130"/>
      <c r="AC67" s="1130"/>
      <c r="AD67" s="1130"/>
      <c r="AE67" s="1130"/>
      <c r="AF67" s="1131"/>
      <c r="AG67" s="1131"/>
      <c r="AH67" s="1155"/>
      <c r="AI67" s="1131"/>
      <c r="AJ67" s="1131"/>
      <c r="AK67" s="1131"/>
    </row>
    <row r="68" spans="1:37" ht="17.5" x14ac:dyDescent="0.2">
      <c r="A68" s="837"/>
      <c r="B68" s="1083" t="s">
        <v>246</v>
      </c>
      <c r="C68" s="1218"/>
      <c r="D68" s="1218">
        <f>計算シート!AI223/1000000/20</f>
        <v>41.089878960231587</v>
      </c>
      <c r="E68" s="1084" t="s">
        <v>587</v>
      </c>
      <c r="F68" s="837"/>
      <c r="G68" s="837"/>
      <c r="H68" s="839"/>
      <c r="M68" s="838"/>
      <c r="N68" s="852" t="s">
        <v>1103</v>
      </c>
      <c r="O68" s="848"/>
      <c r="P68" s="848"/>
      <c r="Q68" s="848"/>
      <c r="R68" s="848"/>
      <c r="S68" s="848"/>
      <c r="T68" s="848"/>
      <c r="U68" s="853"/>
      <c r="V68" s="838"/>
      <c r="W68" s="636"/>
      <c r="X68" s="1130"/>
      <c r="Y68" s="1130"/>
      <c r="Z68" s="1130"/>
      <c r="AA68" s="1131"/>
      <c r="AB68" s="1130"/>
      <c r="AC68" s="1130"/>
      <c r="AD68" s="1130"/>
      <c r="AE68" s="1130"/>
      <c r="AF68" s="1131"/>
      <c r="AG68" s="1131"/>
      <c r="AH68" s="1155"/>
      <c r="AI68" s="1131"/>
      <c r="AJ68" s="1131"/>
      <c r="AK68" s="1131"/>
    </row>
    <row r="69" spans="1:37" ht="17.5" x14ac:dyDescent="0.2">
      <c r="A69" s="837"/>
      <c r="B69" s="1085" t="s">
        <v>202</v>
      </c>
      <c r="C69" s="1219"/>
      <c r="D69" s="1218">
        <f>計算シート!AI224/1000000/20</f>
        <v>24.65392737613897</v>
      </c>
      <c r="E69" s="1086" t="s">
        <v>587</v>
      </c>
      <c r="F69" s="837"/>
      <c r="G69" s="837"/>
      <c r="H69" s="839"/>
      <c r="M69" s="838"/>
      <c r="N69" s="852" t="s">
        <v>1092</v>
      </c>
      <c r="O69" s="848"/>
      <c r="P69" s="848"/>
      <c r="Q69" s="848"/>
      <c r="R69" s="848"/>
      <c r="S69" s="848"/>
      <c r="T69" s="848"/>
      <c r="U69" s="853"/>
      <c r="V69" s="838"/>
      <c r="W69" s="636"/>
      <c r="X69" s="1130"/>
      <c r="Y69" s="1130"/>
      <c r="Z69" s="1130"/>
      <c r="AA69" s="1131"/>
      <c r="AB69" s="1130"/>
      <c r="AC69" s="1130"/>
      <c r="AD69" s="1130"/>
      <c r="AE69" s="1130"/>
      <c r="AF69" s="1131"/>
      <c r="AG69" s="1131"/>
      <c r="AH69" s="1155"/>
      <c r="AI69" s="1131"/>
      <c r="AJ69" s="1131"/>
      <c r="AK69" s="1131"/>
    </row>
    <row r="70" spans="1:37" ht="17.5" x14ac:dyDescent="0.2">
      <c r="A70" s="837"/>
      <c r="B70" s="1085" t="s">
        <v>753</v>
      </c>
      <c r="C70" s="1219"/>
      <c r="D70" s="1218">
        <f>計算シート!AI225/1000000/20</f>
        <v>16.435951584092642</v>
      </c>
      <c r="E70" s="1086" t="s">
        <v>587</v>
      </c>
      <c r="F70" s="837"/>
      <c r="G70" s="837"/>
      <c r="H70" s="839"/>
      <c r="M70" s="838"/>
      <c r="N70" s="852" t="s">
        <v>1093</v>
      </c>
      <c r="O70" s="848"/>
      <c r="P70" s="848"/>
      <c r="Q70" s="848"/>
      <c r="R70" s="848"/>
      <c r="S70" s="848"/>
      <c r="T70" s="848"/>
      <c r="U70" s="853"/>
      <c r="V70" s="838"/>
      <c r="W70" s="636"/>
      <c r="X70" s="1130"/>
      <c r="Y70" s="1130"/>
      <c r="Z70" s="1130"/>
      <c r="AA70" s="1131"/>
      <c r="AB70" s="1130"/>
      <c r="AC70" s="1130"/>
      <c r="AD70" s="1130"/>
      <c r="AE70" s="1130"/>
      <c r="AF70" s="1131"/>
      <c r="AG70" s="1131"/>
      <c r="AH70" s="1155"/>
      <c r="AI70" s="1131"/>
      <c r="AJ70" s="1131"/>
      <c r="AK70" s="1131"/>
    </row>
    <row r="71" spans="1:37" ht="17.5" x14ac:dyDescent="0.2">
      <c r="A71" s="837"/>
      <c r="B71" s="1085" t="s">
        <v>585</v>
      </c>
      <c r="C71" s="1219"/>
      <c r="D71" s="1219">
        <f>計算シート!AI228/1000000/20</f>
        <v>28.99178762555826</v>
      </c>
      <c r="E71" s="1086" t="s">
        <v>304</v>
      </c>
      <c r="F71" s="837"/>
      <c r="G71" s="837"/>
      <c r="H71" s="839"/>
      <c r="M71" s="838"/>
      <c r="N71" s="852" t="s">
        <v>1094</v>
      </c>
      <c r="O71" s="848"/>
      <c r="P71" s="848"/>
      <c r="Q71" s="848"/>
      <c r="R71" s="848"/>
      <c r="S71" s="848"/>
      <c r="T71" s="848"/>
      <c r="U71" s="853"/>
      <c r="V71" s="838"/>
      <c r="W71" s="636"/>
      <c r="X71" s="1130"/>
      <c r="Y71" s="1130"/>
      <c r="Z71" s="1130"/>
      <c r="AA71" s="1131"/>
      <c r="AB71" s="1130"/>
      <c r="AC71" s="1130"/>
      <c r="AD71" s="1130"/>
      <c r="AE71" s="1130"/>
      <c r="AF71" s="1131"/>
      <c r="AG71" s="1131"/>
      <c r="AH71" s="1155"/>
      <c r="AI71" s="1131"/>
      <c r="AJ71" s="1131"/>
      <c r="AK71" s="1131"/>
    </row>
    <row r="72" spans="1:37" ht="17.5" x14ac:dyDescent="0.2">
      <c r="A72" s="837"/>
      <c r="B72" s="1085" t="s">
        <v>939</v>
      </c>
      <c r="C72" s="1219"/>
      <c r="D72" s="1219">
        <f>計算シート!AI229/1000000/20</f>
        <v>5.25</v>
      </c>
      <c r="E72" s="1086" t="s">
        <v>304</v>
      </c>
      <c r="F72" s="837"/>
      <c r="G72" s="837"/>
      <c r="H72" s="839"/>
      <c r="M72" s="838"/>
      <c r="N72" s="852" t="s">
        <v>1095</v>
      </c>
      <c r="O72" s="848"/>
      <c r="P72" s="848"/>
      <c r="Q72" s="848"/>
      <c r="R72" s="848"/>
      <c r="S72" s="848"/>
      <c r="T72" s="848"/>
      <c r="U72" s="853"/>
      <c r="V72" s="838"/>
      <c r="W72" s="636"/>
      <c r="X72" s="1130"/>
      <c r="Y72" s="1130"/>
      <c r="Z72" s="1130"/>
      <c r="AA72" s="1131"/>
      <c r="AB72" s="1130"/>
      <c r="AC72" s="1130"/>
      <c r="AD72" s="1130"/>
      <c r="AE72" s="1130"/>
      <c r="AF72" s="1131"/>
      <c r="AG72" s="1131"/>
      <c r="AH72" s="1155"/>
      <c r="AI72" s="1131"/>
      <c r="AJ72" s="1131"/>
      <c r="AK72" s="1131"/>
    </row>
    <row r="73" spans="1:37" ht="18" thickBot="1" x14ac:dyDescent="0.25">
      <c r="A73" s="837"/>
      <c r="B73" s="954" t="s">
        <v>69</v>
      </c>
      <c r="C73" s="1087">
        <f>SUM(C60:C70)</f>
        <v>299.60066490234374</v>
      </c>
      <c r="D73" s="1087">
        <f>SUM(D64:D72)</f>
        <v>276.78579236817995</v>
      </c>
      <c r="E73" s="1088" t="s">
        <v>587</v>
      </c>
      <c r="F73" s="837"/>
      <c r="G73" s="837"/>
      <c r="H73" s="839"/>
      <c r="I73" s="840"/>
      <c r="J73" s="841"/>
      <c r="K73" s="841"/>
      <c r="L73" s="839"/>
      <c r="M73" s="838"/>
      <c r="N73" s="852" t="s">
        <v>1104</v>
      </c>
      <c r="O73" s="848"/>
      <c r="P73" s="848"/>
      <c r="Q73" s="848"/>
      <c r="R73" s="848"/>
      <c r="S73" s="848"/>
      <c r="T73" s="848"/>
      <c r="U73" s="853"/>
      <c r="V73" s="838"/>
      <c r="W73" s="636"/>
      <c r="X73" s="1130"/>
      <c r="Y73" s="1130"/>
      <c r="Z73" s="1130"/>
      <c r="AA73" s="1131"/>
      <c r="AB73" s="1130"/>
      <c r="AC73" s="1130"/>
      <c r="AD73" s="1130"/>
      <c r="AE73" s="1130"/>
      <c r="AF73" s="1131"/>
      <c r="AG73" s="1131"/>
      <c r="AH73" s="1155"/>
      <c r="AI73" s="1131"/>
      <c r="AJ73" s="1131"/>
      <c r="AK73" s="1131"/>
    </row>
    <row r="74" spans="1:37" x14ac:dyDescent="0.2">
      <c r="A74" s="837"/>
      <c r="B74" s="837"/>
      <c r="C74" s="837"/>
      <c r="D74" s="989"/>
      <c r="E74" s="837"/>
      <c r="F74" s="837"/>
      <c r="G74" s="837"/>
      <c r="H74" s="839"/>
      <c r="I74" s="840"/>
      <c r="J74" s="841"/>
      <c r="K74" s="841"/>
      <c r="L74" s="839"/>
      <c r="M74" s="838"/>
      <c r="N74" s="852" t="s">
        <v>1105</v>
      </c>
      <c r="O74" s="848"/>
      <c r="P74" s="848"/>
      <c r="Q74" s="848"/>
      <c r="R74" s="848"/>
      <c r="S74" s="848"/>
      <c r="T74" s="848"/>
      <c r="U74" s="853"/>
      <c r="V74" s="838"/>
      <c r="W74" s="636"/>
      <c r="X74" s="1130"/>
      <c r="Y74" s="1130"/>
      <c r="Z74" s="1130"/>
      <c r="AA74" s="1131"/>
      <c r="AB74" s="1130"/>
      <c r="AC74" s="1130"/>
      <c r="AD74" s="1130"/>
      <c r="AE74" s="1130"/>
      <c r="AF74" s="1131"/>
      <c r="AG74" s="1131"/>
      <c r="AH74" s="1155"/>
      <c r="AI74" s="1131"/>
      <c r="AJ74" s="1131"/>
      <c r="AK74" s="1131"/>
    </row>
    <row r="75" spans="1:37" x14ac:dyDescent="0.2">
      <c r="A75" s="837"/>
      <c r="B75" s="837"/>
      <c r="C75" s="837"/>
      <c r="D75" s="837"/>
      <c r="E75" s="837"/>
      <c r="F75" s="837"/>
      <c r="G75" s="837"/>
      <c r="H75" s="839"/>
      <c r="I75" s="840"/>
      <c r="J75" s="841"/>
      <c r="K75" s="841"/>
      <c r="L75" s="839"/>
      <c r="M75" s="838"/>
      <c r="N75" s="852" t="s">
        <v>1096</v>
      </c>
      <c r="O75" s="848"/>
      <c r="P75" s="848"/>
      <c r="Q75" s="848"/>
      <c r="R75" s="848"/>
      <c r="S75" s="848"/>
      <c r="T75" s="848"/>
      <c r="U75" s="853"/>
      <c r="V75" s="838"/>
      <c r="W75" s="636"/>
      <c r="X75" s="1130"/>
      <c r="Y75" s="1130"/>
      <c r="Z75" s="1130"/>
      <c r="AA75" s="1131"/>
      <c r="AB75" s="1130"/>
      <c r="AC75" s="1130"/>
      <c r="AD75" s="1130"/>
      <c r="AE75" s="1130"/>
      <c r="AF75" s="1131"/>
      <c r="AG75" s="1131"/>
      <c r="AH75" s="1155"/>
      <c r="AI75" s="1131"/>
      <c r="AJ75" s="1131"/>
      <c r="AK75" s="1131"/>
    </row>
    <row r="76" spans="1:37" x14ac:dyDescent="0.2">
      <c r="A76" s="837"/>
      <c r="B76" s="837"/>
      <c r="C76" s="837"/>
      <c r="D76" s="837"/>
      <c r="E76" s="837"/>
      <c r="F76" s="837"/>
      <c r="G76" s="837"/>
      <c r="H76" s="839"/>
      <c r="I76" s="837"/>
      <c r="J76" s="837"/>
      <c r="K76" s="837"/>
      <c r="L76" s="839"/>
      <c r="M76" s="838"/>
      <c r="N76" s="852" t="s">
        <v>1097</v>
      </c>
      <c r="O76" s="848"/>
      <c r="P76" s="848"/>
      <c r="Q76" s="848"/>
      <c r="R76" s="848"/>
      <c r="S76" s="848"/>
      <c r="T76" s="848"/>
      <c r="U76" s="853"/>
      <c r="V76" s="838"/>
      <c r="W76" s="636"/>
      <c r="X76" s="1130"/>
      <c r="Y76" s="1130"/>
      <c r="Z76" s="1130"/>
      <c r="AA76" s="1131"/>
      <c r="AB76" s="1130"/>
      <c r="AC76" s="1130"/>
      <c r="AD76" s="1130"/>
      <c r="AE76" s="1130"/>
      <c r="AF76" s="1156"/>
      <c r="AG76" s="1157"/>
      <c r="AH76" s="1156"/>
      <c r="AI76" s="1131"/>
      <c r="AJ76" s="1157"/>
      <c r="AK76" s="1131"/>
    </row>
    <row r="77" spans="1:37" ht="21" x14ac:dyDescent="0.2">
      <c r="A77" s="837"/>
      <c r="B77" s="802" t="s">
        <v>962</v>
      </c>
      <c r="C77" s="837"/>
      <c r="D77" s="837"/>
      <c r="E77" s="837"/>
      <c r="F77" s="837"/>
      <c r="G77" s="837"/>
      <c r="H77" s="839"/>
      <c r="I77" s="837"/>
      <c r="J77" s="837"/>
      <c r="K77" s="837"/>
      <c r="L77" s="839"/>
      <c r="M77" s="838"/>
      <c r="N77" s="852" t="s">
        <v>1098</v>
      </c>
      <c r="O77" s="848"/>
      <c r="P77" s="848"/>
      <c r="Q77" s="848"/>
      <c r="R77" s="848"/>
      <c r="S77" s="848"/>
      <c r="T77" s="848"/>
      <c r="U77" s="853"/>
      <c r="V77" s="838"/>
      <c r="W77" s="636"/>
      <c r="X77" s="1130"/>
      <c r="Y77" s="1158"/>
      <c r="Z77" s="1130"/>
      <c r="AA77" s="1131"/>
      <c r="AB77" s="1130"/>
      <c r="AC77" s="1130"/>
      <c r="AD77" s="1130"/>
      <c r="AE77" s="1130"/>
      <c r="AF77" s="1156"/>
      <c r="AG77" s="1157"/>
      <c r="AH77" s="1156"/>
      <c r="AI77" s="1131"/>
      <c r="AJ77" s="1157"/>
      <c r="AK77" s="1131"/>
    </row>
    <row r="78" spans="1:37" x14ac:dyDescent="0.2">
      <c r="A78" s="837"/>
      <c r="B78" s="837"/>
      <c r="C78" s="837"/>
      <c r="D78" s="837"/>
      <c r="E78" s="837"/>
      <c r="F78" s="837"/>
      <c r="G78" s="837"/>
      <c r="H78" s="839"/>
      <c r="I78" s="837"/>
      <c r="J78" s="837"/>
      <c r="K78" s="837"/>
      <c r="L78" s="839"/>
      <c r="M78" s="838"/>
      <c r="N78" s="852" t="s">
        <v>1106</v>
      </c>
      <c r="O78" s="848"/>
      <c r="P78" s="848"/>
      <c r="Q78" s="848"/>
      <c r="R78" s="848"/>
      <c r="S78" s="848"/>
      <c r="T78" s="848"/>
      <c r="U78" s="853"/>
      <c r="V78" s="838"/>
      <c r="W78" s="636"/>
      <c r="X78" s="1130"/>
      <c r="Y78" s="1130"/>
      <c r="Z78" s="1130"/>
      <c r="AA78" s="1131"/>
      <c r="AB78" s="1130"/>
      <c r="AC78" s="1130"/>
      <c r="AD78" s="1130"/>
      <c r="AE78" s="1130"/>
      <c r="AF78" s="1131"/>
      <c r="AG78" s="1131"/>
      <c r="AH78" s="1131"/>
      <c r="AI78" s="1131"/>
      <c r="AJ78" s="1131"/>
      <c r="AK78" s="1131"/>
    </row>
    <row r="79" spans="1:37" x14ac:dyDescent="0.2">
      <c r="A79" s="837"/>
      <c r="B79" s="837"/>
      <c r="C79" s="837"/>
      <c r="D79" s="837"/>
      <c r="E79" s="837"/>
      <c r="F79" s="837"/>
      <c r="G79" s="837"/>
      <c r="H79" s="839"/>
      <c r="I79" s="837"/>
      <c r="J79" s="837"/>
      <c r="K79" s="837"/>
      <c r="L79" s="839"/>
      <c r="M79" s="838"/>
      <c r="N79" s="852" t="s">
        <v>1107</v>
      </c>
      <c r="O79" s="848"/>
      <c r="P79" s="848"/>
      <c r="Q79" s="848"/>
      <c r="R79" s="848"/>
      <c r="S79" s="848"/>
      <c r="T79" s="848"/>
      <c r="U79" s="853"/>
      <c r="V79" s="838"/>
      <c r="W79" s="636"/>
      <c r="X79" s="1130"/>
      <c r="Y79" s="1130"/>
      <c r="Z79" s="1130"/>
      <c r="AA79" s="1131"/>
      <c r="AB79" s="1130"/>
      <c r="AC79" s="1130"/>
      <c r="AD79" s="1130"/>
      <c r="AE79" s="1130"/>
      <c r="AF79" s="1131"/>
      <c r="AG79" s="1131"/>
      <c r="AH79" s="1131"/>
      <c r="AI79" s="1131"/>
      <c r="AJ79" s="1131"/>
      <c r="AK79" s="1131"/>
    </row>
    <row r="80" spans="1:37" x14ac:dyDescent="0.2">
      <c r="A80" s="837"/>
      <c r="B80" s="837"/>
      <c r="C80" s="837"/>
      <c r="D80" s="837"/>
      <c r="E80" s="837"/>
      <c r="F80" s="837"/>
      <c r="G80" s="837"/>
      <c r="H80" s="839"/>
      <c r="I80" s="837"/>
      <c r="J80" s="837"/>
      <c r="K80" s="837"/>
      <c r="L80" s="839"/>
      <c r="M80" s="838"/>
      <c r="N80" s="854"/>
      <c r="O80" s="855"/>
      <c r="P80" s="855"/>
      <c r="Q80" s="855"/>
      <c r="R80" s="855"/>
      <c r="S80" s="855"/>
      <c r="T80" s="855"/>
      <c r="U80" s="856"/>
      <c r="V80" s="838"/>
      <c r="W80" s="636"/>
      <c r="X80" s="1130"/>
      <c r="Y80" s="1130"/>
      <c r="Z80" s="1130"/>
      <c r="AA80" s="1131"/>
      <c r="AB80" s="1130"/>
      <c r="AC80" s="1130"/>
      <c r="AD80" s="1130"/>
      <c r="AE80" s="1130"/>
      <c r="AF80" s="1131"/>
      <c r="AG80" s="1131"/>
      <c r="AH80" s="1131"/>
      <c r="AI80" s="1131"/>
      <c r="AJ80" s="1131"/>
      <c r="AK80" s="1131"/>
    </row>
    <row r="81" spans="1:37" x14ac:dyDescent="0.2">
      <c r="A81" s="837"/>
      <c r="B81" s="837"/>
      <c r="C81" s="837"/>
      <c r="D81" s="837"/>
      <c r="E81" s="837"/>
      <c r="F81" s="837"/>
      <c r="G81" s="837"/>
      <c r="H81" s="839"/>
      <c r="I81" s="837"/>
      <c r="J81" s="837"/>
      <c r="K81" s="837"/>
      <c r="L81" s="839"/>
      <c r="M81" s="838"/>
      <c r="N81" s="838"/>
      <c r="O81" s="838"/>
      <c r="P81" s="838"/>
      <c r="Q81" s="838"/>
      <c r="R81" s="838"/>
      <c r="S81" s="838"/>
      <c r="T81" s="838"/>
      <c r="U81" s="838"/>
      <c r="V81" s="838"/>
      <c r="W81" s="636"/>
      <c r="X81" s="1130"/>
      <c r="Y81" s="1130"/>
      <c r="Z81" s="1130"/>
      <c r="AA81" s="1131"/>
      <c r="AB81" s="1130"/>
      <c r="AC81" s="1130"/>
      <c r="AD81" s="1130"/>
      <c r="AE81" s="1130"/>
      <c r="AF81" s="1131"/>
      <c r="AG81" s="1131"/>
      <c r="AH81" s="1131"/>
      <c r="AI81" s="1131"/>
      <c r="AJ81" s="1131"/>
      <c r="AK81" s="1131"/>
    </row>
    <row r="82" spans="1:37" x14ac:dyDescent="0.2">
      <c r="A82" s="837"/>
      <c r="B82" s="837"/>
      <c r="C82" s="837"/>
      <c r="D82" s="837"/>
      <c r="E82" s="837"/>
      <c r="F82" s="837"/>
      <c r="G82" s="837"/>
      <c r="H82" s="839"/>
      <c r="I82" s="837"/>
      <c r="J82" s="837"/>
      <c r="K82" s="837"/>
      <c r="L82" s="839"/>
      <c r="M82" s="838"/>
      <c r="N82" s="838"/>
      <c r="O82" s="838"/>
      <c r="P82" s="838"/>
      <c r="Q82" s="838"/>
      <c r="R82" s="838"/>
      <c r="S82" s="838"/>
      <c r="T82" s="838"/>
      <c r="U82" s="838"/>
      <c r="V82" s="838"/>
      <c r="W82" s="636"/>
      <c r="X82" s="1130"/>
      <c r="Y82" s="1130"/>
      <c r="Z82" s="1130"/>
      <c r="AA82" s="1131"/>
      <c r="AB82" s="1130"/>
      <c r="AC82" s="1130"/>
      <c r="AD82" s="1130"/>
      <c r="AE82" s="1130"/>
      <c r="AF82" s="1131"/>
      <c r="AG82" s="1131"/>
      <c r="AH82" s="1131"/>
      <c r="AI82" s="1131"/>
      <c r="AJ82" s="1131"/>
      <c r="AK82" s="1131"/>
    </row>
    <row r="83" spans="1:37" ht="16.5" x14ac:dyDescent="0.2">
      <c r="A83" s="837"/>
      <c r="B83" s="837"/>
      <c r="C83" s="837"/>
      <c r="D83" s="837"/>
      <c r="E83" s="837"/>
      <c r="F83" s="837"/>
      <c r="G83" s="837"/>
      <c r="H83" s="839"/>
      <c r="I83" s="839"/>
      <c r="J83" s="839"/>
      <c r="K83" s="839"/>
      <c r="L83" s="839"/>
      <c r="M83" s="838"/>
      <c r="N83" s="849" t="s">
        <v>842</v>
      </c>
      <c r="O83" s="850"/>
      <c r="P83" s="850"/>
      <c r="Q83" s="850"/>
      <c r="R83" s="850"/>
      <c r="S83" s="850"/>
      <c r="T83" s="850"/>
      <c r="U83" s="851"/>
      <c r="V83" s="838"/>
      <c r="W83" s="636"/>
      <c r="X83" s="1130"/>
      <c r="Y83" s="1130"/>
      <c r="AC83" s="1130"/>
      <c r="AD83" s="1130"/>
      <c r="AE83" s="1130"/>
      <c r="AF83" s="1131"/>
      <c r="AG83" s="1131"/>
      <c r="AH83" s="1131"/>
      <c r="AI83" s="1131"/>
      <c r="AJ83" s="1131"/>
      <c r="AK83" s="1131"/>
    </row>
    <row r="84" spans="1:37" ht="15" customHeight="1" x14ac:dyDescent="0.2">
      <c r="A84" s="837"/>
      <c r="B84" s="802"/>
      <c r="C84" s="837"/>
      <c r="D84" s="837"/>
      <c r="E84" s="837"/>
      <c r="F84" s="837"/>
      <c r="G84" s="837"/>
      <c r="H84" s="839"/>
      <c r="I84" s="839"/>
      <c r="J84" s="839"/>
      <c r="K84" s="839"/>
      <c r="L84" s="839"/>
      <c r="M84" s="838"/>
      <c r="N84" s="1038" t="s">
        <v>1119</v>
      </c>
      <c r="O84" s="848"/>
      <c r="P84" s="848"/>
      <c r="Q84" s="848"/>
      <c r="R84" s="848"/>
      <c r="S84" s="848"/>
      <c r="T84" s="848"/>
      <c r="U84" s="853"/>
      <c r="V84" s="838"/>
      <c r="W84" s="636"/>
      <c r="X84" s="1130"/>
      <c r="Y84" s="1130"/>
      <c r="AC84" s="1130"/>
      <c r="AD84" s="1130"/>
      <c r="AE84" s="1130"/>
      <c r="AF84" s="1131"/>
      <c r="AG84" s="1131"/>
      <c r="AH84" s="1131"/>
      <c r="AI84" s="1131"/>
      <c r="AJ84" s="1131"/>
      <c r="AK84" s="1131"/>
    </row>
    <row r="85" spans="1:37" x14ac:dyDescent="0.2">
      <c r="A85" s="837"/>
      <c r="B85" s="837"/>
      <c r="C85" s="837"/>
      <c r="D85" s="837"/>
      <c r="E85" s="837"/>
      <c r="F85" s="837"/>
      <c r="G85" s="837"/>
      <c r="H85" s="839"/>
      <c r="I85" s="839"/>
      <c r="J85" s="839"/>
      <c r="K85" s="839"/>
      <c r="L85" s="839"/>
      <c r="M85" s="838"/>
      <c r="N85" s="852" t="s">
        <v>1120</v>
      </c>
      <c r="O85" s="848"/>
      <c r="P85" s="848"/>
      <c r="Q85" s="848"/>
      <c r="R85" s="848"/>
      <c r="S85" s="848"/>
      <c r="T85" s="848"/>
      <c r="U85" s="853"/>
      <c r="V85" s="838"/>
      <c r="W85" s="636"/>
      <c r="X85" s="1130"/>
      <c r="Y85" s="1130"/>
      <c r="AD85" s="1130"/>
      <c r="AE85" s="1130"/>
      <c r="AF85" s="1131"/>
      <c r="AG85" s="1131"/>
      <c r="AH85" s="1131"/>
      <c r="AI85" s="1131"/>
      <c r="AJ85" s="1131"/>
      <c r="AK85" s="1131"/>
    </row>
    <row r="86" spans="1:37" x14ac:dyDescent="0.2">
      <c r="A86" s="837"/>
      <c r="B86" s="837"/>
      <c r="C86" s="837"/>
      <c r="D86" s="837"/>
      <c r="E86" s="837"/>
      <c r="F86" s="837"/>
      <c r="G86" s="837"/>
      <c r="H86" s="839"/>
      <c r="I86" s="839"/>
      <c r="J86" s="839"/>
      <c r="K86" s="839"/>
      <c r="L86" s="839"/>
      <c r="M86" s="838"/>
      <c r="N86" s="852" t="s">
        <v>1121</v>
      </c>
      <c r="O86" s="848"/>
      <c r="P86" s="848"/>
      <c r="Q86" s="848"/>
      <c r="R86" s="848"/>
      <c r="S86" s="848"/>
      <c r="T86" s="848"/>
      <c r="U86" s="853"/>
      <c r="V86" s="838"/>
      <c r="W86" s="636"/>
      <c r="X86" s="1130"/>
      <c r="Y86" s="1130"/>
      <c r="AD86" s="1130"/>
      <c r="AE86" s="1130"/>
      <c r="AF86" s="1131"/>
      <c r="AG86" s="1131"/>
      <c r="AH86" s="1131"/>
      <c r="AI86" s="1131"/>
      <c r="AJ86" s="1131"/>
      <c r="AK86" s="1131"/>
    </row>
    <row r="87" spans="1:37" x14ac:dyDescent="0.2">
      <c r="A87" s="837"/>
      <c r="B87" s="837"/>
      <c r="C87" s="837"/>
      <c r="D87" s="837"/>
      <c r="E87" s="837"/>
      <c r="F87" s="837"/>
      <c r="G87" s="837"/>
      <c r="H87" s="839"/>
      <c r="I87" s="839"/>
      <c r="J87" s="839"/>
      <c r="K87" s="839"/>
      <c r="L87" s="839"/>
      <c r="M87" s="838"/>
      <c r="N87" s="852" t="s">
        <v>1122</v>
      </c>
      <c r="O87" s="848"/>
      <c r="P87" s="848"/>
      <c r="Q87" s="848"/>
      <c r="R87" s="848"/>
      <c r="S87" s="848"/>
      <c r="T87" s="848"/>
      <c r="U87" s="853"/>
      <c r="V87" s="838"/>
      <c r="W87" s="636"/>
      <c r="X87" s="1130"/>
      <c r="Y87" s="1130"/>
      <c r="AD87" s="1130"/>
      <c r="AE87" s="1130"/>
      <c r="AF87" s="1131"/>
      <c r="AG87" s="1131"/>
      <c r="AH87" s="1131"/>
      <c r="AI87" s="1131"/>
      <c r="AJ87" s="1131"/>
      <c r="AK87" s="1131"/>
    </row>
    <row r="88" spans="1:37" x14ac:dyDescent="0.2">
      <c r="A88" s="837"/>
      <c r="B88" s="837"/>
      <c r="C88" s="837"/>
      <c r="D88" s="837"/>
      <c r="E88" s="837"/>
      <c r="F88" s="837"/>
      <c r="G88" s="837"/>
      <c r="H88" s="839"/>
      <c r="I88" s="839"/>
      <c r="J88" s="839"/>
      <c r="K88" s="839"/>
      <c r="L88" s="839"/>
      <c r="M88" s="838"/>
      <c r="N88" s="854"/>
      <c r="O88" s="855"/>
      <c r="P88" s="855"/>
      <c r="Q88" s="855"/>
      <c r="R88" s="855"/>
      <c r="S88" s="855"/>
      <c r="T88" s="855"/>
      <c r="U88" s="856"/>
      <c r="V88" s="838"/>
      <c r="W88" s="636"/>
      <c r="X88" s="1130"/>
      <c r="Y88" s="1130"/>
      <c r="AD88" s="1130"/>
      <c r="AE88" s="1130"/>
      <c r="AF88" s="1131"/>
      <c r="AG88" s="1131"/>
      <c r="AH88" s="1131"/>
      <c r="AI88" s="1131"/>
      <c r="AJ88" s="1131"/>
      <c r="AK88" s="1131"/>
    </row>
    <row r="89" spans="1:37" x14ac:dyDescent="0.2">
      <c r="A89" s="837"/>
      <c r="B89" s="837"/>
      <c r="C89" s="837"/>
      <c r="D89" s="837"/>
      <c r="E89" s="837"/>
      <c r="F89" s="837"/>
      <c r="G89" s="837"/>
      <c r="H89" s="839"/>
      <c r="I89" s="839"/>
      <c r="J89" s="839"/>
      <c r="K89" s="839"/>
      <c r="L89" s="839"/>
      <c r="M89" s="838"/>
      <c r="N89" s="838"/>
      <c r="O89" s="838"/>
      <c r="P89" s="838"/>
      <c r="Q89" s="838"/>
      <c r="R89" s="838"/>
      <c r="S89" s="838"/>
      <c r="T89" s="838"/>
      <c r="U89" s="838"/>
      <c r="V89" s="838"/>
      <c r="W89" s="636"/>
      <c r="X89" s="1130"/>
      <c r="Y89" s="1130"/>
      <c r="AD89" s="1130"/>
      <c r="AE89" s="1130"/>
      <c r="AF89" s="1131"/>
      <c r="AG89" s="1131"/>
      <c r="AH89" s="1131"/>
      <c r="AI89" s="1131"/>
      <c r="AJ89" s="1131"/>
      <c r="AK89" s="1131"/>
    </row>
    <row r="90" spans="1:37" x14ac:dyDescent="0.2">
      <c r="A90" s="837"/>
      <c r="B90" s="837"/>
      <c r="C90" s="837"/>
      <c r="D90" s="837"/>
      <c r="E90" s="837"/>
      <c r="F90" s="837"/>
      <c r="G90" s="837"/>
      <c r="H90" s="839"/>
      <c r="I90" s="839"/>
      <c r="J90" s="839"/>
      <c r="K90" s="839"/>
      <c r="L90" s="839"/>
      <c r="M90" s="838"/>
      <c r="N90" s="838"/>
      <c r="O90" s="838"/>
      <c r="P90" s="838"/>
      <c r="Q90" s="838"/>
      <c r="R90" s="838"/>
      <c r="S90" s="838"/>
      <c r="T90" s="838"/>
      <c r="U90" s="838"/>
      <c r="V90" s="838"/>
      <c r="W90" s="636"/>
      <c r="X90" s="1130"/>
      <c r="Y90" s="1130"/>
      <c r="AD90" s="1130"/>
      <c r="AE90" s="1130"/>
      <c r="AF90" s="1131"/>
      <c r="AG90" s="1131"/>
      <c r="AH90" s="1131"/>
      <c r="AI90" s="1131"/>
      <c r="AJ90" s="1131"/>
      <c r="AK90" s="1131"/>
    </row>
    <row r="91" spans="1:37" ht="16.5" x14ac:dyDescent="0.2">
      <c r="A91" s="837"/>
      <c r="B91" s="837"/>
      <c r="C91" s="837"/>
      <c r="D91" s="837"/>
      <c r="E91" s="837"/>
      <c r="F91" s="837"/>
      <c r="G91" s="837"/>
      <c r="H91" s="839"/>
      <c r="I91" s="839"/>
      <c r="J91" s="839"/>
      <c r="K91" s="839"/>
      <c r="L91" s="839"/>
      <c r="M91" s="838" t="s">
        <v>704</v>
      </c>
      <c r="N91" s="849" t="s">
        <v>986</v>
      </c>
      <c r="O91" s="850"/>
      <c r="P91" s="850"/>
      <c r="Q91" s="850"/>
      <c r="R91" s="850"/>
      <c r="S91" s="850"/>
      <c r="T91" s="850"/>
      <c r="U91" s="851"/>
      <c r="V91" s="838"/>
      <c r="W91" s="636"/>
      <c r="X91" s="1130"/>
      <c r="Y91" s="1130"/>
      <c r="AD91" s="1130"/>
      <c r="AE91" s="1130"/>
      <c r="AF91" s="1131"/>
      <c r="AG91" s="1131"/>
      <c r="AH91" s="1131"/>
      <c r="AI91" s="1131"/>
      <c r="AJ91" s="1131"/>
      <c r="AK91" s="1131"/>
    </row>
    <row r="92" spans="1:37" x14ac:dyDescent="0.2">
      <c r="A92" s="837"/>
      <c r="B92" s="842"/>
      <c r="C92" s="843"/>
      <c r="D92" s="844"/>
      <c r="E92" s="839"/>
      <c r="F92" s="839"/>
      <c r="G92" s="839"/>
      <c r="H92" s="839"/>
      <c r="I92" s="839"/>
      <c r="J92" s="839"/>
      <c r="K92" s="839"/>
      <c r="L92" s="839"/>
      <c r="M92" s="838"/>
      <c r="N92" s="852" t="s">
        <v>1114</v>
      </c>
      <c r="O92" s="848"/>
      <c r="P92" s="848"/>
      <c r="Q92" s="848"/>
      <c r="R92" s="848"/>
      <c r="S92" s="848"/>
      <c r="T92" s="848"/>
      <c r="U92" s="853"/>
      <c r="V92" s="838"/>
      <c r="W92" s="636"/>
      <c r="X92" s="1130"/>
      <c r="Y92" s="1130"/>
      <c r="AD92" s="1130"/>
      <c r="AE92" s="1130"/>
      <c r="AF92" s="1131"/>
      <c r="AG92" s="1131"/>
      <c r="AH92" s="1131"/>
      <c r="AI92" s="1131"/>
      <c r="AJ92" s="1131"/>
      <c r="AK92" s="1131"/>
    </row>
    <row r="93" spans="1:37" x14ac:dyDescent="0.2">
      <c r="A93" s="837"/>
      <c r="B93" s="837"/>
      <c r="C93" s="837"/>
      <c r="D93" s="837"/>
      <c r="E93" s="837"/>
      <c r="F93" s="837"/>
      <c r="G93" s="837"/>
      <c r="H93" s="839"/>
      <c r="I93" s="839"/>
      <c r="J93" s="839"/>
      <c r="K93" s="839"/>
      <c r="L93" s="839"/>
      <c r="M93" s="838"/>
      <c r="N93" s="852" t="s">
        <v>1115</v>
      </c>
      <c r="O93" s="848"/>
      <c r="P93" s="848"/>
      <c r="Q93" s="848"/>
      <c r="R93" s="848"/>
      <c r="S93" s="848"/>
      <c r="T93" s="848"/>
      <c r="U93" s="853"/>
      <c r="V93" s="838"/>
      <c r="W93" s="636"/>
      <c r="X93" s="1130"/>
      <c r="Y93" s="1130"/>
      <c r="AD93" s="1130"/>
      <c r="AE93" s="1130"/>
      <c r="AF93" s="1131"/>
      <c r="AG93" s="1131"/>
      <c r="AH93" s="1131"/>
      <c r="AI93" s="1131"/>
      <c r="AJ93" s="1131"/>
      <c r="AK93" s="1131"/>
    </row>
    <row r="94" spans="1:37" x14ac:dyDescent="0.2">
      <c r="A94" s="837"/>
      <c r="B94" s="837"/>
      <c r="C94" s="837"/>
      <c r="D94" s="837"/>
      <c r="E94" s="837"/>
      <c r="F94" s="837"/>
      <c r="G94" s="837"/>
      <c r="H94" s="839"/>
      <c r="I94" s="839"/>
      <c r="J94" s="839"/>
      <c r="K94" s="839"/>
      <c r="L94" s="839"/>
      <c r="M94" s="838"/>
      <c r="N94" s="852" t="s">
        <v>1112</v>
      </c>
      <c r="O94" s="848"/>
      <c r="P94" s="848"/>
      <c r="Q94" s="848"/>
      <c r="R94" s="848"/>
      <c r="S94" s="848"/>
      <c r="T94" s="848"/>
      <c r="U94" s="853"/>
      <c r="V94" s="838"/>
      <c r="W94" s="636"/>
      <c r="X94" s="1130"/>
      <c r="Y94" s="1130"/>
      <c r="AD94" s="1130"/>
      <c r="AE94" s="1130"/>
      <c r="AF94" s="1131"/>
      <c r="AG94" s="1131"/>
      <c r="AH94" s="1131"/>
      <c r="AI94" s="1131"/>
      <c r="AJ94" s="1131"/>
      <c r="AK94" s="1131"/>
    </row>
    <row r="95" spans="1:37" x14ac:dyDescent="0.2">
      <c r="A95" s="837"/>
      <c r="B95" s="837"/>
      <c r="C95" s="837"/>
      <c r="D95" s="837"/>
      <c r="E95" s="837"/>
      <c r="F95" s="837"/>
      <c r="G95" s="837"/>
      <c r="H95" s="839"/>
      <c r="I95" s="839"/>
      <c r="J95" s="839"/>
      <c r="K95" s="839"/>
      <c r="L95" s="839"/>
      <c r="M95" s="838"/>
      <c r="N95" s="852" t="s">
        <v>1113</v>
      </c>
      <c r="O95" s="848"/>
      <c r="P95" s="848"/>
      <c r="Q95" s="848"/>
      <c r="R95" s="848"/>
      <c r="S95" s="848"/>
      <c r="T95" s="848"/>
      <c r="U95" s="853"/>
      <c r="V95" s="838"/>
      <c r="W95" s="636"/>
      <c r="X95" s="1130"/>
      <c r="Y95" s="1130"/>
      <c r="AD95" s="1130"/>
      <c r="AE95" s="1130"/>
      <c r="AF95" s="1131"/>
      <c r="AG95" s="1131"/>
      <c r="AH95" s="1131"/>
      <c r="AI95" s="1131"/>
      <c r="AJ95" s="1131"/>
      <c r="AK95" s="1131"/>
    </row>
    <row r="96" spans="1:37" x14ac:dyDescent="0.2">
      <c r="A96" s="837"/>
      <c r="B96" s="837"/>
      <c r="C96" s="837"/>
      <c r="D96" s="837"/>
      <c r="E96" s="837"/>
      <c r="F96" s="837"/>
      <c r="G96" s="837"/>
      <c r="H96" s="839"/>
      <c r="I96" s="839"/>
      <c r="J96" s="839"/>
      <c r="K96" s="839"/>
      <c r="L96" s="839"/>
      <c r="M96" s="838"/>
      <c r="N96" s="852" t="s">
        <v>1116</v>
      </c>
      <c r="O96" s="848"/>
      <c r="P96" s="848"/>
      <c r="Q96" s="848"/>
      <c r="R96" s="848"/>
      <c r="S96" s="848"/>
      <c r="T96" s="848"/>
      <c r="U96" s="853"/>
      <c r="V96" s="838"/>
      <c r="W96" s="636"/>
      <c r="X96" s="1130"/>
      <c r="Y96" s="1130"/>
      <c r="AD96" s="1130"/>
      <c r="AE96" s="1130"/>
      <c r="AF96" s="1131"/>
      <c r="AG96" s="1131"/>
      <c r="AH96" s="1131"/>
      <c r="AI96" s="1131"/>
      <c r="AJ96" s="1131"/>
      <c r="AK96" s="1131"/>
    </row>
    <row r="97" spans="1:37" x14ac:dyDescent="0.2">
      <c r="A97" s="837"/>
      <c r="B97" s="837"/>
      <c r="C97" s="837"/>
      <c r="D97" s="837"/>
      <c r="E97" s="837"/>
      <c r="F97" s="837"/>
      <c r="G97" s="837"/>
      <c r="H97" s="839"/>
      <c r="I97" s="839"/>
      <c r="J97" s="839"/>
      <c r="K97" s="839"/>
      <c r="L97" s="839"/>
      <c r="M97" s="838"/>
      <c r="N97" s="852" t="s">
        <v>1117</v>
      </c>
      <c r="O97" s="848"/>
      <c r="P97" s="848"/>
      <c r="Q97" s="848"/>
      <c r="R97" s="848"/>
      <c r="S97" s="848"/>
      <c r="T97" s="848"/>
      <c r="U97" s="853"/>
      <c r="V97" s="838"/>
      <c r="W97" s="636"/>
      <c r="X97" s="1130"/>
      <c r="Y97" s="1130"/>
      <c r="AD97" s="1130"/>
      <c r="AE97" s="1130"/>
      <c r="AF97" s="1131"/>
      <c r="AG97" s="1131"/>
      <c r="AH97" s="1131"/>
      <c r="AI97" s="1131"/>
      <c r="AJ97" s="1131"/>
      <c r="AK97" s="1131"/>
    </row>
    <row r="98" spans="1:37" x14ac:dyDescent="0.2">
      <c r="A98" s="837"/>
      <c r="B98" s="837"/>
      <c r="C98" s="837"/>
      <c r="D98" s="837"/>
      <c r="E98" s="837"/>
      <c r="F98" s="837"/>
      <c r="G98" s="837"/>
      <c r="H98" s="839"/>
      <c r="I98" s="839"/>
      <c r="J98" s="839"/>
      <c r="K98" s="839"/>
      <c r="L98" s="839"/>
      <c r="M98" s="838"/>
      <c r="N98" s="854"/>
      <c r="O98" s="855"/>
      <c r="P98" s="855"/>
      <c r="Q98" s="855"/>
      <c r="R98" s="855"/>
      <c r="S98" s="855"/>
      <c r="T98" s="855"/>
      <c r="U98" s="856"/>
      <c r="V98" s="838"/>
      <c r="W98" s="636"/>
      <c r="X98" s="1130"/>
      <c r="Y98" s="1130"/>
      <c r="AD98" s="1130"/>
      <c r="AE98" s="1130"/>
      <c r="AF98" s="1131"/>
      <c r="AG98" s="1131"/>
      <c r="AH98" s="1131"/>
      <c r="AI98" s="1131"/>
      <c r="AJ98" s="1131"/>
      <c r="AK98" s="1131"/>
    </row>
    <row r="99" spans="1:37" x14ac:dyDescent="0.2">
      <c r="A99" s="837"/>
      <c r="B99" s="837"/>
      <c r="C99" s="837"/>
      <c r="D99" s="837"/>
      <c r="E99" s="837"/>
      <c r="F99" s="837"/>
      <c r="G99" s="837"/>
      <c r="H99" s="839"/>
      <c r="I99" s="839"/>
      <c r="J99" s="839"/>
      <c r="K99" s="839"/>
      <c r="L99" s="839"/>
      <c r="M99" s="838"/>
      <c r="N99" s="838"/>
      <c r="O99" s="838"/>
      <c r="P99" s="838"/>
      <c r="Q99" s="838"/>
      <c r="R99" s="838"/>
      <c r="S99" s="838"/>
      <c r="T99" s="838"/>
      <c r="U99" s="838"/>
      <c r="V99" s="838"/>
      <c r="W99" s="636"/>
      <c r="X99" s="1130"/>
    </row>
    <row r="100" spans="1:37" x14ac:dyDescent="0.2">
      <c r="A100" s="837"/>
      <c r="B100" s="837"/>
      <c r="C100" s="837"/>
      <c r="D100" s="837"/>
      <c r="E100" s="837"/>
      <c r="F100" s="837"/>
      <c r="G100" s="837"/>
      <c r="H100" s="839"/>
      <c r="I100" s="839"/>
      <c r="J100" s="839"/>
      <c r="K100" s="839"/>
      <c r="L100" s="839"/>
      <c r="M100" s="838"/>
      <c r="N100" s="838"/>
      <c r="O100" s="838"/>
      <c r="P100" s="838"/>
      <c r="Q100" s="838"/>
      <c r="R100" s="838"/>
      <c r="S100" s="838"/>
      <c r="T100" s="838"/>
      <c r="U100" s="838"/>
      <c r="V100" s="838"/>
      <c r="W100" s="636"/>
      <c r="X100" s="1130"/>
    </row>
    <row r="101" spans="1:37" ht="16.5" x14ac:dyDescent="0.2">
      <c r="A101" s="837"/>
      <c r="B101" s="837"/>
      <c r="C101" s="837"/>
      <c r="D101" s="837"/>
      <c r="E101" s="837"/>
      <c r="F101" s="837"/>
      <c r="G101" s="837"/>
      <c r="H101" s="839"/>
      <c r="I101" s="839"/>
      <c r="J101" s="839"/>
      <c r="K101" s="839"/>
      <c r="L101" s="839"/>
      <c r="M101" s="838"/>
      <c r="N101" s="849" t="s">
        <v>841</v>
      </c>
      <c r="O101" s="850"/>
      <c r="P101" s="850"/>
      <c r="Q101" s="850"/>
      <c r="R101" s="850"/>
      <c r="S101" s="850"/>
      <c r="T101" s="850"/>
      <c r="U101" s="851"/>
      <c r="V101" s="838"/>
      <c r="W101" s="636"/>
      <c r="X101" s="1130"/>
    </row>
    <row r="102" spans="1:37" x14ac:dyDescent="0.2">
      <c r="A102" s="837"/>
      <c r="B102" s="837"/>
      <c r="C102" s="837"/>
      <c r="D102" s="837"/>
      <c r="E102" s="837"/>
      <c r="F102" s="837"/>
      <c r="G102" s="837"/>
      <c r="H102" s="839"/>
      <c r="I102" s="839"/>
      <c r="J102" s="839"/>
      <c r="K102" s="839"/>
      <c r="L102" s="839"/>
      <c r="M102" s="838"/>
      <c r="N102" s="852" t="s">
        <v>1123</v>
      </c>
      <c r="O102" s="848"/>
      <c r="P102" s="848"/>
      <c r="Q102" s="848"/>
      <c r="R102" s="848"/>
      <c r="S102" s="848"/>
      <c r="T102" s="848"/>
      <c r="U102" s="853"/>
      <c r="V102" s="838"/>
      <c r="W102" s="636"/>
      <c r="X102" s="1130"/>
    </row>
    <row r="103" spans="1:37" x14ac:dyDescent="0.2">
      <c r="A103" s="837"/>
      <c r="B103" s="837"/>
      <c r="C103" s="837"/>
      <c r="D103" s="837"/>
      <c r="E103" s="837"/>
      <c r="F103" s="837"/>
      <c r="G103" s="837"/>
      <c r="H103" s="839"/>
      <c r="I103" s="839"/>
      <c r="J103" s="839"/>
      <c r="K103" s="839"/>
      <c r="L103" s="839"/>
      <c r="M103" s="838"/>
      <c r="N103" s="852" t="s">
        <v>1124</v>
      </c>
      <c r="O103" s="848"/>
      <c r="P103" s="848"/>
      <c r="Q103" s="848"/>
      <c r="R103" s="848"/>
      <c r="S103" s="848"/>
      <c r="T103" s="848"/>
      <c r="U103" s="853"/>
      <c r="V103" s="838"/>
      <c r="W103" s="636"/>
      <c r="X103" s="1130"/>
    </row>
    <row r="104" spans="1:37" x14ac:dyDescent="0.2">
      <c r="A104" s="837"/>
      <c r="B104" s="837"/>
      <c r="C104" s="837"/>
      <c r="D104" s="837"/>
      <c r="E104" s="837"/>
      <c r="F104" s="837"/>
      <c r="G104" s="837"/>
      <c r="H104" s="839"/>
      <c r="I104" s="839"/>
      <c r="J104" s="839"/>
      <c r="K104" s="839"/>
      <c r="L104" s="839"/>
      <c r="M104" s="838"/>
      <c r="N104" s="852" t="s">
        <v>1125</v>
      </c>
      <c r="O104" s="848"/>
      <c r="P104" s="848"/>
      <c r="Q104" s="848"/>
      <c r="R104" s="848"/>
      <c r="S104" s="848"/>
      <c r="T104" s="848"/>
      <c r="U104" s="853"/>
      <c r="V104" s="838"/>
      <c r="W104" s="636"/>
      <c r="X104" s="1130"/>
    </row>
    <row r="105" spans="1:37" x14ac:dyDescent="0.2">
      <c r="A105" s="837"/>
      <c r="B105" s="837"/>
      <c r="C105" s="837"/>
      <c r="D105" s="837"/>
      <c r="E105" s="837"/>
      <c r="F105" s="837"/>
      <c r="G105" s="837"/>
      <c r="H105" s="839"/>
      <c r="I105" s="839"/>
      <c r="J105" s="839"/>
      <c r="K105" s="839"/>
      <c r="L105" s="839"/>
      <c r="M105" s="838"/>
      <c r="N105" s="852" t="s">
        <v>1126</v>
      </c>
      <c r="O105" s="848"/>
      <c r="P105" s="848"/>
      <c r="Q105" s="848"/>
      <c r="R105" s="848"/>
      <c r="S105" s="848"/>
      <c r="T105" s="848"/>
      <c r="U105" s="853"/>
      <c r="V105" s="838"/>
      <c r="W105" s="636"/>
      <c r="X105" s="1130"/>
    </row>
    <row r="106" spans="1:37" x14ac:dyDescent="0.2">
      <c r="A106" s="837"/>
      <c r="B106" s="837"/>
      <c r="C106" s="837"/>
      <c r="D106" s="837"/>
      <c r="E106" s="837"/>
      <c r="F106" s="837"/>
      <c r="G106" s="837"/>
      <c r="H106" s="839"/>
      <c r="I106" s="839"/>
      <c r="J106" s="839"/>
      <c r="K106" s="839"/>
      <c r="L106" s="839"/>
      <c r="M106" s="838"/>
      <c r="N106" s="852" t="s">
        <v>1125</v>
      </c>
      <c r="O106" s="848"/>
      <c r="P106" s="848"/>
      <c r="Q106" s="848"/>
      <c r="R106" s="848"/>
      <c r="S106" s="848"/>
      <c r="T106" s="848"/>
      <c r="U106" s="853"/>
      <c r="V106" s="838"/>
      <c r="W106" s="636"/>
      <c r="X106" s="1130"/>
    </row>
    <row r="107" spans="1:37" ht="26" customHeight="1" x14ac:dyDescent="0.2">
      <c r="A107" s="837"/>
      <c r="B107" s="988" t="s">
        <v>735</v>
      </c>
      <c r="C107" s="988"/>
      <c r="D107" s="988"/>
      <c r="E107" s="988"/>
      <c r="F107" s="988"/>
      <c r="G107" s="988"/>
      <c r="H107" s="839"/>
      <c r="I107" s="839"/>
      <c r="J107" s="839"/>
      <c r="K107" s="839"/>
      <c r="L107" s="839"/>
      <c r="M107" s="838"/>
      <c r="N107" s="854"/>
      <c r="O107" s="855"/>
      <c r="P107" s="855"/>
      <c r="Q107" s="855"/>
      <c r="R107" s="855"/>
      <c r="S107" s="855"/>
      <c r="T107" s="855"/>
      <c r="U107" s="856"/>
      <c r="V107" s="838"/>
      <c r="W107" s="636"/>
      <c r="X107" s="1130"/>
    </row>
    <row r="108" spans="1:37" ht="13.5" thickBot="1" x14ac:dyDescent="0.25">
      <c r="A108" s="837"/>
      <c r="B108" s="979" t="s">
        <v>736</v>
      </c>
      <c r="C108" s="980">
        <f>K37</f>
        <v>1563.6897780339068</v>
      </c>
      <c r="D108" s="981" t="s">
        <v>304</v>
      </c>
      <c r="E108" s="982"/>
      <c r="F108" s="982"/>
      <c r="G108" s="982"/>
      <c r="H108" s="839"/>
      <c r="I108" s="839"/>
      <c r="J108" s="839"/>
      <c r="K108" s="839"/>
      <c r="L108" s="839"/>
      <c r="M108" s="838"/>
      <c r="N108" s="838"/>
      <c r="O108" s="838"/>
      <c r="P108" s="838"/>
      <c r="Q108" s="838"/>
      <c r="R108" s="838"/>
      <c r="S108" s="838"/>
      <c r="T108" s="838"/>
      <c r="U108" s="838"/>
      <c r="V108" s="838"/>
      <c r="W108" s="636"/>
      <c r="X108" s="1130" t="s">
        <v>761</v>
      </c>
      <c r="AA108" s="1159">
        <f>AH4/100</f>
        <v>3.1145458420751337E-2</v>
      </c>
      <c r="AD108" s="1159">
        <f>AK4</f>
        <v>15</v>
      </c>
    </row>
    <row r="109" spans="1:37" ht="13.5" thickBot="1" x14ac:dyDescent="0.25">
      <c r="A109" s="837"/>
      <c r="B109" s="347" t="s">
        <v>1018</v>
      </c>
      <c r="C109" s="348" t="s">
        <v>737</v>
      </c>
      <c r="D109" s="348" t="s">
        <v>201</v>
      </c>
      <c r="E109" s="346" t="s">
        <v>738</v>
      </c>
      <c r="F109" s="982"/>
      <c r="G109" s="982"/>
      <c r="H109" s="839"/>
      <c r="I109" s="839"/>
      <c r="J109" s="839"/>
      <c r="K109" s="839"/>
      <c r="L109" s="839"/>
      <c r="M109" s="838"/>
      <c r="N109" s="838"/>
      <c r="O109" s="838"/>
      <c r="P109" s="838"/>
      <c r="Q109" s="838"/>
      <c r="R109" s="838"/>
      <c r="S109" s="838"/>
      <c r="T109" s="838"/>
      <c r="U109" s="838"/>
      <c r="V109" s="838"/>
      <c r="W109" s="1197"/>
      <c r="X109" s="1160">
        <v>1</v>
      </c>
      <c r="Z109" s="1161">
        <v>1</v>
      </c>
      <c r="AA109" s="1162">
        <f t="dataTable" ref="AA109:AA119" dt2D="0" dtr="0" r1="X109" ca="1"/>
        <v>3.1145458420751337E-2</v>
      </c>
      <c r="AC109" s="1161">
        <v>1</v>
      </c>
      <c r="AD109" s="1143">
        <f t="dataTable" ref="AD109:AD119" dt2D="0" dtr="0" r1="X109"/>
        <v>15</v>
      </c>
    </row>
    <row r="110" spans="1:37" ht="16.5" x14ac:dyDescent="0.2">
      <c r="A110" s="837"/>
      <c r="B110" s="966" t="str">
        <f>"設定値×"&amp;TEXT(Z109,"0%")</f>
        <v>設定値×100%</v>
      </c>
      <c r="C110" s="967" t="str">
        <f>TEXT($C$108*Z109,"0,0")&amp;"百万円"</f>
        <v>1,564百万円</v>
      </c>
      <c r="D110" s="339">
        <f>AA109</f>
        <v>3.1145458420751337E-2</v>
      </c>
      <c r="E110" s="337">
        <f>AD109</f>
        <v>15</v>
      </c>
      <c r="F110" s="982"/>
      <c r="G110" s="982"/>
      <c r="H110" s="839"/>
      <c r="I110" s="839"/>
      <c r="J110" s="839"/>
      <c r="K110" s="839"/>
      <c r="L110" s="839"/>
      <c r="M110" s="838"/>
      <c r="N110" s="849" t="s">
        <v>840</v>
      </c>
      <c r="O110" s="850"/>
      <c r="P110" s="850"/>
      <c r="Q110" s="850"/>
      <c r="R110" s="850"/>
      <c r="S110" s="850"/>
      <c r="T110" s="850"/>
      <c r="U110" s="851"/>
      <c r="V110" s="838"/>
      <c r="W110" s="636"/>
      <c r="X110" s="1130"/>
      <c r="Z110" s="1161">
        <f>Z109+0.1</f>
        <v>1.1000000000000001</v>
      </c>
      <c r="AA110" s="1162">
        <v>2.1929344919381588E-2</v>
      </c>
      <c r="AC110" s="1161">
        <f>AC109+0.1</f>
        <v>1.1000000000000001</v>
      </c>
      <c r="AD110" s="1143">
        <v>16</v>
      </c>
    </row>
    <row r="111" spans="1:37" x14ac:dyDescent="0.2">
      <c r="A111" s="837"/>
      <c r="B111" s="968" t="str">
        <f t="shared" ref="B111:B120" si="0">"設定値×"&amp;TEXT(Z110,"0%")</f>
        <v>設定値×110%</v>
      </c>
      <c r="C111" s="969" t="str">
        <f t="shared" ref="C111:C120" si="1">TEXT($C$108*Z110,"0,0")&amp;"百万円"</f>
        <v>1,720百万円</v>
      </c>
      <c r="D111" s="340">
        <f t="shared" ref="D111:D120" si="2">AA110</f>
        <v>2.1929344919381588E-2</v>
      </c>
      <c r="E111" s="338">
        <f t="shared" ref="E111:E120" si="3">AD110</f>
        <v>16</v>
      </c>
      <c r="F111" s="982"/>
      <c r="G111" s="982"/>
      <c r="H111" s="839"/>
      <c r="I111" s="839"/>
      <c r="J111" s="839"/>
      <c r="K111" s="839"/>
      <c r="L111" s="839"/>
      <c r="M111" s="838"/>
      <c r="N111" s="1232" t="s">
        <v>1108</v>
      </c>
      <c r="O111" s="848"/>
      <c r="P111" s="848"/>
      <c r="Q111" s="848"/>
      <c r="R111" s="848"/>
      <c r="S111" s="848"/>
      <c r="T111" s="848"/>
      <c r="U111" s="853"/>
      <c r="V111" s="838"/>
      <c r="W111" s="636"/>
      <c r="X111" s="1130"/>
      <c r="Z111" s="1161">
        <f t="shared" ref="Z111:Z119" si="4">Z110+0.1</f>
        <v>1.2000000000000002</v>
      </c>
      <c r="AA111" s="1162">
        <v>1.3881951459063346E-2</v>
      </c>
      <c r="AC111" s="1161">
        <f t="shared" ref="AC111:AC119" si="5">AC110+0.1</f>
        <v>1.2000000000000002</v>
      </c>
      <c r="AD111" s="1143">
        <v>18</v>
      </c>
    </row>
    <row r="112" spans="1:37" x14ac:dyDescent="0.2">
      <c r="A112" s="837"/>
      <c r="B112" s="968" t="str">
        <f t="shared" si="0"/>
        <v>設定値×120%</v>
      </c>
      <c r="C112" s="969" t="str">
        <f t="shared" si="1"/>
        <v>1,876百万円</v>
      </c>
      <c r="D112" s="340">
        <f t="shared" si="2"/>
        <v>1.3881951459063346E-2</v>
      </c>
      <c r="E112" s="338">
        <f t="shared" si="3"/>
        <v>18</v>
      </c>
      <c r="F112" s="982"/>
      <c r="G112" s="982"/>
      <c r="H112" s="839"/>
      <c r="I112" s="839"/>
      <c r="J112" s="839"/>
      <c r="K112" s="839"/>
      <c r="L112" s="839"/>
      <c r="M112" s="838"/>
      <c r="N112" s="852" t="s">
        <v>1109</v>
      </c>
      <c r="O112" s="848"/>
      <c r="P112" s="848"/>
      <c r="Q112" s="848"/>
      <c r="R112" s="848"/>
      <c r="S112" s="848"/>
      <c r="T112" s="848"/>
      <c r="U112" s="853"/>
      <c r="V112" s="838"/>
      <c r="W112" s="636"/>
      <c r="X112" s="1130"/>
      <c r="Z112" s="1161">
        <f t="shared" si="4"/>
        <v>1.3000000000000003</v>
      </c>
      <c r="AA112" s="1162">
        <v>6.7661551074575943E-3</v>
      </c>
      <c r="AC112" s="1161">
        <f t="shared" si="5"/>
        <v>1.3000000000000003</v>
      </c>
      <c r="AD112" s="1143">
        <v>19</v>
      </c>
    </row>
    <row r="113" spans="1:38" x14ac:dyDescent="0.2">
      <c r="A113" s="837"/>
      <c r="B113" s="968" t="str">
        <f t="shared" si="0"/>
        <v>設定値×130%</v>
      </c>
      <c r="C113" s="969" t="str">
        <f t="shared" si="1"/>
        <v>2,033百万円</v>
      </c>
      <c r="D113" s="340">
        <f t="shared" si="2"/>
        <v>6.7661551074575943E-3</v>
      </c>
      <c r="E113" s="338">
        <f t="shared" si="3"/>
        <v>19</v>
      </c>
      <c r="F113" s="982"/>
      <c r="G113" s="982"/>
      <c r="H113" s="839"/>
      <c r="I113" s="839"/>
      <c r="J113" s="839"/>
      <c r="K113" s="839"/>
      <c r="L113" s="839"/>
      <c r="M113" s="838"/>
      <c r="N113" s="852" t="s">
        <v>1110</v>
      </c>
      <c r="O113" s="848"/>
      <c r="P113" s="848"/>
      <c r="Q113" s="848"/>
      <c r="R113" s="848"/>
      <c r="S113" s="848"/>
      <c r="T113" s="848"/>
      <c r="U113" s="853"/>
      <c r="V113" s="838"/>
      <c r="W113" s="636"/>
      <c r="X113" s="1130"/>
      <c r="Z113" s="1161">
        <f t="shared" si="4"/>
        <v>1.4000000000000004</v>
      </c>
      <c r="AA113" s="1162">
        <v>4.080374300408085E-4</v>
      </c>
      <c r="AC113" s="1161">
        <f t="shared" si="5"/>
        <v>1.4000000000000004</v>
      </c>
      <c r="AD113" s="1143">
        <v>20</v>
      </c>
    </row>
    <row r="114" spans="1:38" x14ac:dyDescent="0.2">
      <c r="A114" s="837"/>
      <c r="B114" s="968" t="str">
        <f t="shared" si="0"/>
        <v>設定値×140%</v>
      </c>
      <c r="C114" s="969" t="str">
        <f t="shared" si="1"/>
        <v>2,189百万円</v>
      </c>
      <c r="D114" s="340">
        <f t="shared" si="2"/>
        <v>4.080374300408085E-4</v>
      </c>
      <c r="E114" s="338">
        <f t="shared" si="3"/>
        <v>20</v>
      </c>
      <c r="F114" s="982"/>
      <c r="G114" s="982"/>
      <c r="H114" s="839"/>
      <c r="I114" s="839"/>
      <c r="J114" s="839"/>
      <c r="K114" s="839"/>
      <c r="L114" s="839"/>
      <c r="M114" s="838"/>
      <c r="N114" s="852" t="s">
        <v>1111</v>
      </c>
      <c r="O114" s="848"/>
      <c r="P114" s="848"/>
      <c r="Q114" s="848"/>
      <c r="R114" s="848"/>
      <c r="S114" s="848"/>
      <c r="T114" s="848"/>
      <c r="U114" s="853"/>
      <c r="V114" s="838"/>
      <c r="W114" s="636"/>
      <c r="X114" s="1130"/>
      <c r="Z114" s="1161">
        <f t="shared" si="4"/>
        <v>1.5000000000000004</v>
      </c>
      <c r="AA114" s="1162">
        <v>-5.9672301591817689E-3</v>
      </c>
      <c r="AC114" s="1161">
        <f t="shared" si="5"/>
        <v>1.5000000000000004</v>
      </c>
      <c r="AD114" s="1143">
        <v>22</v>
      </c>
    </row>
    <row r="115" spans="1:38" x14ac:dyDescent="0.2">
      <c r="A115" s="837"/>
      <c r="B115" s="968" t="str">
        <f t="shared" si="0"/>
        <v>設定値×150%</v>
      </c>
      <c r="C115" s="969" t="str">
        <f t="shared" si="1"/>
        <v>2,346百万円</v>
      </c>
      <c r="D115" s="340">
        <f t="shared" si="2"/>
        <v>-5.9672301591817689E-3</v>
      </c>
      <c r="E115" s="338">
        <f t="shared" si="3"/>
        <v>22</v>
      </c>
      <c r="F115" s="982"/>
      <c r="G115" s="982"/>
      <c r="H115" s="839"/>
      <c r="I115" s="839"/>
      <c r="J115" s="839"/>
      <c r="K115" s="839"/>
      <c r="L115" s="839"/>
      <c r="M115" s="838"/>
      <c r="N115" s="854"/>
      <c r="O115" s="855"/>
      <c r="P115" s="855"/>
      <c r="Q115" s="855"/>
      <c r="R115" s="855"/>
      <c r="S115" s="855"/>
      <c r="T115" s="855"/>
      <c r="U115" s="856"/>
      <c r="V115" s="838"/>
      <c r="W115" s="636"/>
      <c r="X115" s="1130"/>
      <c r="Z115" s="1161">
        <f t="shared" si="4"/>
        <v>1.6000000000000005</v>
      </c>
      <c r="AA115" s="1162">
        <v>-1.2150352148827537E-2</v>
      </c>
      <c r="AC115" s="1161">
        <f t="shared" si="5"/>
        <v>1.6000000000000005</v>
      </c>
      <c r="AD115" s="1143">
        <v>24</v>
      </c>
    </row>
    <row r="116" spans="1:38" x14ac:dyDescent="0.2">
      <c r="A116" s="837"/>
      <c r="B116" s="968" t="str">
        <f t="shared" si="0"/>
        <v>設定値×160%</v>
      </c>
      <c r="C116" s="969" t="str">
        <f t="shared" si="1"/>
        <v>2,502百万円</v>
      </c>
      <c r="D116" s="340">
        <f t="shared" si="2"/>
        <v>-1.2150352148827537E-2</v>
      </c>
      <c r="E116" s="338">
        <f t="shared" si="3"/>
        <v>24</v>
      </c>
      <c r="F116" s="982"/>
      <c r="G116" s="982"/>
      <c r="H116" s="839"/>
      <c r="I116" s="839"/>
      <c r="J116" s="839"/>
      <c r="K116" s="839"/>
      <c r="L116" s="839"/>
      <c r="M116" s="838"/>
      <c r="N116" s="838"/>
      <c r="O116" s="838"/>
      <c r="P116" s="838"/>
      <c r="Q116" s="838"/>
      <c r="R116" s="838"/>
      <c r="S116" s="838"/>
      <c r="T116" s="838"/>
      <c r="U116" s="838"/>
      <c r="V116" s="838"/>
      <c r="W116" s="636"/>
      <c r="X116" s="1130"/>
      <c r="Z116" s="1161">
        <f t="shared" si="4"/>
        <v>1.7000000000000006</v>
      </c>
      <c r="AA116" s="1162">
        <v>-1.7764695927681817E-2</v>
      </c>
      <c r="AC116" s="1161">
        <f t="shared" si="5"/>
        <v>1.7000000000000006</v>
      </c>
      <c r="AD116" s="1143">
        <v>25</v>
      </c>
    </row>
    <row r="117" spans="1:38" x14ac:dyDescent="0.2">
      <c r="A117" s="837"/>
      <c r="B117" s="968" t="str">
        <f t="shared" si="0"/>
        <v>設定値×170%</v>
      </c>
      <c r="C117" s="969" t="str">
        <f t="shared" si="1"/>
        <v>2,658百万円</v>
      </c>
      <c r="D117" s="340">
        <f t="shared" si="2"/>
        <v>-1.7764695927681817E-2</v>
      </c>
      <c r="E117" s="338">
        <f t="shared" si="3"/>
        <v>25</v>
      </c>
      <c r="F117" s="982"/>
      <c r="G117" s="982"/>
      <c r="H117" s="839"/>
      <c r="I117" s="839"/>
      <c r="J117" s="839"/>
      <c r="K117" s="839"/>
      <c r="L117" s="839"/>
      <c r="M117" s="838"/>
      <c r="N117" s="838"/>
      <c r="O117" s="838"/>
      <c r="P117" s="838"/>
      <c r="Q117" s="838"/>
      <c r="R117" s="838"/>
      <c r="S117" s="838"/>
      <c r="T117" s="838"/>
      <c r="U117" s="838"/>
      <c r="V117" s="838"/>
      <c r="W117" s="636"/>
      <c r="X117" s="1130"/>
      <c r="Z117" s="1161">
        <f t="shared" si="4"/>
        <v>1.8000000000000007</v>
      </c>
      <c r="AA117" s="1162">
        <v>-2.3238158601298742E-2</v>
      </c>
      <c r="AC117" s="1161">
        <f t="shared" si="5"/>
        <v>1.8000000000000007</v>
      </c>
      <c r="AD117" s="1143">
        <v>27</v>
      </c>
    </row>
    <row r="118" spans="1:38" x14ac:dyDescent="0.2">
      <c r="A118" s="837"/>
      <c r="B118" s="968" t="str">
        <f t="shared" si="0"/>
        <v>設定値×180%</v>
      </c>
      <c r="C118" s="969" t="str">
        <f t="shared" si="1"/>
        <v>2,815百万円</v>
      </c>
      <c r="D118" s="340">
        <f t="shared" si="2"/>
        <v>-2.3238158601298742E-2</v>
      </c>
      <c r="E118" s="338">
        <f t="shared" si="3"/>
        <v>27</v>
      </c>
      <c r="F118" s="837"/>
      <c r="G118" s="837"/>
      <c r="H118" s="839"/>
      <c r="I118" s="839"/>
      <c r="J118" s="839"/>
      <c r="K118" s="839"/>
      <c r="L118" s="839"/>
      <c r="M118" s="838"/>
      <c r="N118" s="838"/>
      <c r="O118" s="838"/>
      <c r="P118" s="838"/>
      <c r="Q118" s="838"/>
      <c r="R118" s="838"/>
      <c r="S118" s="838"/>
      <c r="T118" s="838"/>
      <c r="U118" s="838"/>
      <c r="V118" s="838"/>
      <c r="W118" s="636"/>
      <c r="X118" s="1130"/>
      <c r="Z118" s="1161">
        <f t="shared" si="4"/>
        <v>1.9000000000000008</v>
      </c>
      <c r="AA118" s="1162">
        <v>-2.8068272286040363E-2</v>
      </c>
      <c r="AC118" s="1161">
        <f t="shared" si="5"/>
        <v>1.9000000000000008</v>
      </c>
      <c r="AD118" s="1143">
        <v>29</v>
      </c>
    </row>
    <row r="119" spans="1:38" x14ac:dyDescent="0.2">
      <c r="A119" s="837"/>
      <c r="B119" s="968" t="str">
        <f t="shared" si="0"/>
        <v>設定値×190%</v>
      </c>
      <c r="C119" s="969" t="str">
        <f t="shared" si="1"/>
        <v>2,971百万円</v>
      </c>
      <c r="D119" s="340">
        <f t="shared" si="2"/>
        <v>-2.8068272286040363E-2</v>
      </c>
      <c r="E119" s="338">
        <f t="shared" si="3"/>
        <v>29</v>
      </c>
      <c r="F119" s="837"/>
      <c r="G119" s="837"/>
      <c r="H119" s="839"/>
      <c r="I119" s="839"/>
      <c r="J119" s="839"/>
      <c r="K119" s="839"/>
      <c r="L119" s="839"/>
      <c r="M119" s="838"/>
      <c r="N119" s="838"/>
      <c r="O119" s="838"/>
      <c r="P119" s="838"/>
      <c r="Q119" s="838"/>
      <c r="R119" s="838"/>
      <c r="S119" s="838"/>
      <c r="T119" s="838"/>
      <c r="U119" s="838"/>
      <c r="V119" s="838"/>
      <c r="W119" s="636"/>
      <c r="X119" s="1130"/>
      <c r="Z119" s="1161">
        <f t="shared" si="4"/>
        <v>2.0000000000000009</v>
      </c>
      <c r="AA119" s="1162">
        <v>-3.2539941852716914E-2</v>
      </c>
      <c r="AC119" s="1161">
        <f t="shared" si="5"/>
        <v>2.0000000000000009</v>
      </c>
      <c r="AD119" s="1143">
        <v>9999</v>
      </c>
    </row>
    <row r="120" spans="1:38" ht="13.5" thickBot="1" x14ac:dyDescent="0.25">
      <c r="A120" s="837"/>
      <c r="B120" s="970" t="str">
        <f t="shared" si="0"/>
        <v>設定値×200%</v>
      </c>
      <c r="C120" s="971" t="str">
        <f t="shared" si="1"/>
        <v>3,127百万円</v>
      </c>
      <c r="D120" s="341">
        <f t="shared" si="2"/>
        <v>-3.2539941852716914E-2</v>
      </c>
      <c r="E120" s="345">
        <f t="shared" si="3"/>
        <v>9999</v>
      </c>
      <c r="F120" s="837"/>
      <c r="G120" s="837"/>
      <c r="H120" s="839"/>
      <c r="I120" s="839"/>
      <c r="J120" s="839"/>
      <c r="K120" s="839"/>
      <c r="L120" s="839"/>
      <c r="M120" s="838"/>
      <c r="N120" s="838"/>
      <c r="O120" s="838"/>
      <c r="P120" s="838"/>
      <c r="Q120" s="838"/>
      <c r="R120" s="838"/>
      <c r="S120" s="838"/>
      <c r="T120" s="838"/>
      <c r="U120" s="838"/>
      <c r="V120" s="838"/>
      <c r="W120" s="636"/>
      <c r="X120" s="1130"/>
    </row>
    <row r="121" spans="1:38" x14ac:dyDescent="0.2">
      <c r="A121" s="837"/>
      <c r="B121" s="837"/>
      <c r="C121" s="837"/>
      <c r="D121" s="837"/>
      <c r="E121" s="837"/>
      <c r="F121" s="837"/>
      <c r="G121" s="837"/>
      <c r="H121" s="839"/>
      <c r="I121" s="839"/>
      <c r="J121" s="839"/>
      <c r="K121" s="839"/>
      <c r="L121" s="839"/>
      <c r="M121" s="838"/>
      <c r="N121" s="838"/>
      <c r="O121" s="838"/>
      <c r="P121" s="838"/>
      <c r="Q121" s="838"/>
      <c r="R121" s="838"/>
      <c r="S121" s="838"/>
      <c r="T121" s="838"/>
      <c r="U121" s="838"/>
      <c r="V121" s="838"/>
      <c r="W121" s="636"/>
      <c r="X121" s="1130"/>
    </row>
    <row r="122" spans="1:38" x14ac:dyDescent="0.2">
      <c r="A122" s="837"/>
      <c r="B122" s="837"/>
      <c r="C122" s="837"/>
      <c r="D122" s="837"/>
      <c r="E122" s="837"/>
      <c r="F122" s="837"/>
      <c r="G122" s="837"/>
      <c r="H122" s="839"/>
      <c r="I122" s="839"/>
      <c r="J122" s="839"/>
      <c r="K122" s="839"/>
      <c r="L122" s="839"/>
      <c r="M122" s="838"/>
      <c r="N122" s="838"/>
      <c r="O122" s="838"/>
      <c r="P122" s="838"/>
      <c r="Q122" s="838"/>
      <c r="R122" s="838"/>
      <c r="S122" s="838"/>
      <c r="T122" s="838"/>
      <c r="U122" s="838"/>
      <c r="V122" s="838"/>
      <c r="W122" s="636"/>
      <c r="X122" s="1130"/>
    </row>
    <row r="123" spans="1:38" x14ac:dyDescent="0.2">
      <c r="A123" s="837"/>
      <c r="B123" s="837"/>
      <c r="C123" s="837"/>
      <c r="D123" s="837"/>
      <c r="E123" s="837"/>
      <c r="F123" s="837"/>
      <c r="G123" s="837"/>
      <c r="H123" s="839"/>
      <c r="I123" s="839"/>
      <c r="J123" s="839"/>
      <c r="K123" s="839"/>
      <c r="L123" s="839"/>
      <c r="M123" s="838"/>
      <c r="N123" s="838"/>
      <c r="O123" s="838"/>
      <c r="P123" s="838"/>
      <c r="Q123" s="838"/>
      <c r="R123" s="838"/>
      <c r="S123" s="838"/>
      <c r="T123" s="838"/>
      <c r="U123" s="838"/>
      <c r="V123" s="838"/>
      <c r="W123" s="636"/>
      <c r="X123" s="1130"/>
    </row>
    <row r="124" spans="1:38" x14ac:dyDescent="0.2">
      <c r="A124" s="837"/>
      <c r="B124" s="837"/>
      <c r="C124" s="837"/>
      <c r="D124" s="837"/>
      <c r="E124" s="837"/>
      <c r="F124" s="837"/>
      <c r="G124" s="837"/>
      <c r="H124" s="839"/>
      <c r="I124" s="839"/>
      <c r="J124" s="839"/>
      <c r="K124" s="839"/>
      <c r="L124" s="839"/>
      <c r="M124" s="838"/>
      <c r="N124" s="838"/>
      <c r="O124" s="838"/>
      <c r="P124" s="838"/>
      <c r="Q124" s="838"/>
      <c r="R124" s="838"/>
      <c r="S124" s="838"/>
      <c r="T124" s="838"/>
      <c r="U124" s="838"/>
      <c r="V124" s="838"/>
      <c r="W124" s="636"/>
      <c r="X124" s="1130"/>
    </row>
    <row r="125" spans="1:38" x14ac:dyDescent="0.2">
      <c r="A125" s="837"/>
      <c r="B125" s="837"/>
      <c r="C125" s="837"/>
      <c r="D125" s="837"/>
      <c r="E125" s="837"/>
      <c r="F125" s="837"/>
      <c r="G125" s="837"/>
      <c r="H125" s="839"/>
      <c r="I125" s="839"/>
      <c r="J125" s="839"/>
      <c r="K125" s="839"/>
      <c r="L125" s="839"/>
      <c r="M125" s="838"/>
      <c r="N125" s="838"/>
      <c r="O125" s="838"/>
      <c r="P125" s="838"/>
      <c r="Q125" s="838"/>
      <c r="R125" s="838"/>
      <c r="S125" s="838"/>
      <c r="T125" s="838"/>
      <c r="U125" s="838"/>
      <c r="V125" s="838"/>
      <c r="W125" s="636"/>
      <c r="X125" s="1130"/>
    </row>
    <row r="126" spans="1:38" s="899" customFormat="1" ht="33" customHeight="1" x14ac:dyDescent="0.2">
      <c r="A126" s="1062"/>
      <c r="B126" s="1065" t="s">
        <v>877</v>
      </c>
      <c r="C126" s="1062"/>
      <c r="D126" s="1062"/>
      <c r="E126" s="1062"/>
      <c r="F126" s="1062"/>
      <c r="G126" s="1062"/>
      <c r="H126" s="1063"/>
      <c r="I126" s="1064"/>
      <c r="J126" s="1064"/>
      <c r="K126" s="1063"/>
      <c r="L126" s="1063"/>
      <c r="M126" s="1063"/>
      <c r="N126" s="1063"/>
      <c r="O126" s="1063"/>
      <c r="P126" s="1063"/>
      <c r="Q126" s="1063"/>
      <c r="R126" s="1063"/>
      <c r="S126" s="1063"/>
      <c r="T126" s="1063"/>
      <c r="U126" s="1063"/>
      <c r="V126" s="1063"/>
      <c r="W126" s="901"/>
      <c r="X126" s="1125"/>
      <c r="Y126" s="1125"/>
      <c r="Z126" s="1126"/>
      <c r="AA126" s="1126"/>
      <c r="AB126" s="1126"/>
      <c r="AC126" s="1127"/>
      <c r="AD126" s="1125"/>
      <c r="AE126" s="1125"/>
      <c r="AF126" s="1125"/>
      <c r="AG126" s="1125"/>
      <c r="AH126" s="1126"/>
      <c r="AI126" s="1126"/>
      <c r="AJ126" s="1126"/>
      <c r="AK126" s="1126"/>
      <c r="AL126" s="1126"/>
    </row>
    <row r="127" spans="1:38" ht="21" x14ac:dyDescent="0.3">
      <c r="A127" s="837"/>
      <c r="B127" s="1067"/>
      <c r="C127" s="1068"/>
      <c r="D127" s="1069"/>
      <c r="E127" s="1070"/>
      <c r="F127" s="1070"/>
      <c r="G127" s="1070"/>
      <c r="H127" s="1070"/>
      <c r="I127" s="1070"/>
      <c r="J127" s="1070"/>
      <c r="K127" s="1070"/>
      <c r="L127" s="1070"/>
      <c r="M127" s="845"/>
      <c r="N127" s="845"/>
      <c r="O127" s="845"/>
      <c r="P127" s="845"/>
      <c r="Q127" s="845"/>
      <c r="R127" s="845"/>
      <c r="S127" s="845"/>
      <c r="T127" s="845"/>
      <c r="U127" s="845"/>
      <c r="V127" s="845"/>
      <c r="W127" s="636"/>
      <c r="X127" s="1130"/>
    </row>
    <row r="128" spans="1:38" ht="21.5" thickBot="1" x14ac:dyDescent="0.25">
      <c r="A128" s="804"/>
      <c r="B128" s="802" t="s">
        <v>832</v>
      </c>
      <c r="C128" s="806"/>
      <c r="D128" s="805"/>
      <c r="E128" s="806"/>
      <c r="F128" s="805"/>
      <c r="G128" s="805"/>
      <c r="H128" s="805"/>
      <c r="I128" s="805"/>
      <c r="J128" s="805"/>
      <c r="K128" s="805"/>
      <c r="L128" s="805"/>
      <c r="M128" s="805"/>
      <c r="N128" s="805"/>
      <c r="O128" s="805"/>
      <c r="P128" s="805"/>
      <c r="Q128" s="805"/>
      <c r="R128" s="805"/>
      <c r="S128" s="805"/>
      <c r="T128" s="805"/>
      <c r="U128" s="805"/>
      <c r="V128" s="803"/>
      <c r="W128" s="636"/>
      <c r="X128" s="1130"/>
    </row>
    <row r="129" spans="1:26" ht="18" x14ac:dyDescent="0.2">
      <c r="A129" s="804"/>
      <c r="B129" s="866" t="s">
        <v>830</v>
      </c>
      <c r="C129" s="1035" t="s">
        <v>831</v>
      </c>
      <c r="D129" s="879"/>
      <c r="E129" s="945" t="s">
        <v>824</v>
      </c>
      <c r="F129" s="873"/>
      <c r="G129" s="1188"/>
      <c r="H129" s="805"/>
      <c r="I129" s="1211" t="s">
        <v>861</v>
      </c>
      <c r="J129" s="1212"/>
      <c r="K129" s="1212"/>
      <c r="L129" s="1212"/>
      <c r="M129" s="1212"/>
      <c r="N129" s="1212"/>
      <c r="O129" s="1212"/>
      <c r="P129" s="1212"/>
      <c r="Q129" s="1212"/>
      <c r="R129" s="1212"/>
      <c r="S129" s="1212"/>
      <c r="T129" s="1212"/>
      <c r="U129" s="1212"/>
      <c r="V129" s="838"/>
      <c r="W129" s="636"/>
      <c r="Z129" s="1154" t="s">
        <v>622</v>
      </c>
    </row>
    <row r="130" spans="1:26" ht="19.5" customHeight="1" x14ac:dyDescent="0.2">
      <c r="A130" s="804"/>
      <c r="B130" s="846" t="s">
        <v>528</v>
      </c>
      <c r="C130" s="876">
        <f t="shared" ref="C130:C135" si="6">E5</f>
        <v>14000</v>
      </c>
      <c r="D130" s="874" t="s">
        <v>316</v>
      </c>
      <c r="E130" s="1194">
        <f t="shared" ref="E130:E135" si="7">E5</f>
        <v>14000</v>
      </c>
      <c r="F130" s="874" t="s">
        <v>316</v>
      </c>
      <c r="G130" s="810"/>
      <c r="H130" s="805"/>
      <c r="I130" s="1212" t="s">
        <v>862</v>
      </c>
      <c r="J130" s="1212"/>
      <c r="K130" s="1212"/>
      <c r="L130" s="1212" t="s">
        <v>873</v>
      </c>
      <c r="M130" s="1212"/>
      <c r="N130" s="1212"/>
      <c r="O130" s="1212"/>
      <c r="P130" s="1212"/>
      <c r="Q130" s="1212"/>
      <c r="R130" s="1212"/>
      <c r="S130" s="1212"/>
      <c r="T130" s="1212"/>
      <c r="U130" s="1212"/>
      <c r="V130" s="838"/>
      <c r="W130" s="636"/>
      <c r="X130" s="1135">
        <f t="shared" ref="X130:X135" si="8">E130-C130</f>
        <v>0</v>
      </c>
      <c r="Z130" s="1154" t="s">
        <v>621</v>
      </c>
    </row>
    <row r="131" spans="1:26" ht="19.5" customHeight="1" x14ac:dyDescent="0.2">
      <c r="A131" s="804"/>
      <c r="B131" s="846" t="s">
        <v>529</v>
      </c>
      <c r="C131" s="877">
        <f t="shared" si="6"/>
        <v>7000</v>
      </c>
      <c r="D131" s="847" t="s">
        <v>316</v>
      </c>
      <c r="E131" s="1194">
        <f t="shared" si="7"/>
        <v>7000</v>
      </c>
      <c r="F131" s="847" t="s">
        <v>316</v>
      </c>
      <c r="G131" s="810"/>
      <c r="H131" s="805"/>
      <c r="I131" s="1212"/>
      <c r="J131" s="1212"/>
      <c r="K131" s="1212"/>
      <c r="L131" s="1212" t="s">
        <v>863</v>
      </c>
      <c r="M131" s="1212"/>
      <c r="N131" s="1212"/>
      <c r="O131" s="1212"/>
      <c r="P131" s="1212"/>
      <c r="Q131" s="1212"/>
      <c r="R131" s="1212"/>
      <c r="S131" s="1212"/>
      <c r="T131" s="1212"/>
      <c r="U131" s="1212"/>
      <c r="V131" s="838"/>
      <c r="W131" s="636"/>
      <c r="X131" s="1135">
        <f t="shared" si="8"/>
        <v>0</v>
      </c>
      <c r="Z131" s="1154" t="s">
        <v>623</v>
      </c>
    </row>
    <row r="132" spans="1:26" ht="19.5" customHeight="1" x14ac:dyDescent="0.2">
      <c r="A132" s="804"/>
      <c r="B132" s="1072" t="s">
        <v>530</v>
      </c>
      <c r="C132" s="1089">
        <f t="shared" si="6"/>
        <v>7000</v>
      </c>
      <c r="D132" s="1073" t="s">
        <v>316</v>
      </c>
      <c r="E132" s="1194">
        <f t="shared" si="7"/>
        <v>7000</v>
      </c>
      <c r="F132" s="1073" t="s">
        <v>316</v>
      </c>
      <c r="G132" s="810"/>
      <c r="H132" s="805"/>
      <c r="I132" s="1212" t="s">
        <v>864</v>
      </c>
      <c r="J132" s="1212"/>
      <c r="K132" s="1212"/>
      <c r="L132" s="1212" t="s">
        <v>865</v>
      </c>
      <c r="M132" s="1212"/>
      <c r="N132" s="1212"/>
      <c r="O132" s="1212"/>
      <c r="P132" s="1212"/>
      <c r="Q132" s="1212"/>
      <c r="R132" s="1212"/>
      <c r="S132" s="1212"/>
      <c r="T132" s="1212"/>
      <c r="U132" s="1212"/>
      <c r="V132" s="838"/>
      <c r="W132" s="636"/>
      <c r="X132" s="1135">
        <f t="shared" si="8"/>
        <v>0</v>
      </c>
      <c r="Z132" s="1154" t="s">
        <v>624</v>
      </c>
    </row>
    <row r="133" spans="1:26" ht="19.5" customHeight="1" x14ac:dyDescent="0.2">
      <c r="A133" s="804"/>
      <c r="B133" s="1072" t="s">
        <v>531</v>
      </c>
      <c r="C133" s="1089">
        <f t="shared" si="6"/>
        <v>2000</v>
      </c>
      <c r="D133" s="1073" t="s">
        <v>316</v>
      </c>
      <c r="E133" s="1194">
        <f t="shared" si="7"/>
        <v>2000</v>
      </c>
      <c r="F133" s="1073" t="s">
        <v>316</v>
      </c>
      <c r="G133" s="810"/>
      <c r="H133" s="805"/>
      <c r="I133" s="1212"/>
      <c r="J133" s="1212"/>
      <c r="K133" s="1212"/>
      <c r="L133" s="1212" t="s">
        <v>866</v>
      </c>
      <c r="M133" s="1212"/>
      <c r="N133" s="1212"/>
      <c r="O133" s="1212"/>
      <c r="P133" s="1212"/>
      <c r="Q133" s="1212"/>
      <c r="R133" s="1212"/>
      <c r="S133" s="1212"/>
      <c r="T133" s="1212"/>
      <c r="U133" s="1212"/>
      <c r="V133" s="838"/>
      <c r="W133" s="636"/>
      <c r="X133" s="1135">
        <f t="shared" si="8"/>
        <v>0</v>
      </c>
      <c r="Z133" s="1154" t="s">
        <v>625</v>
      </c>
    </row>
    <row r="134" spans="1:26" ht="19.5" customHeight="1" x14ac:dyDescent="0.2">
      <c r="A134" s="804"/>
      <c r="B134" s="1072" t="s">
        <v>532</v>
      </c>
      <c r="C134" s="1089">
        <f t="shared" si="6"/>
        <v>2000</v>
      </c>
      <c r="D134" s="1073" t="s">
        <v>316</v>
      </c>
      <c r="E134" s="1194">
        <f t="shared" si="7"/>
        <v>2000</v>
      </c>
      <c r="F134" s="1073" t="s">
        <v>316</v>
      </c>
      <c r="G134" s="810"/>
      <c r="H134" s="805"/>
      <c r="I134" s="1212" t="s">
        <v>867</v>
      </c>
      <c r="J134" s="1212"/>
      <c r="K134" s="1212"/>
      <c r="L134" s="1212" t="s">
        <v>868</v>
      </c>
      <c r="M134" s="1212"/>
      <c r="N134" s="1212"/>
      <c r="O134" s="1212"/>
      <c r="P134" s="1212"/>
      <c r="Q134" s="1212"/>
      <c r="R134" s="1212"/>
      <c r="S134" s="1212"/>
      <c r="T134" s="1212"/>
      <c r="U134" s="1212"/>
      <c r="V134" s="838"/>
      <c r="W134" s="636"/>
      <c r="X134" s="1135">
        <f t="shared" si="8"/>
        <v>0</v>
      </c>
      <c r="Z134" s="1154" t="s">
        <v>626</v>
      </c>
    </row>
    <row r="135" spans="1:26" ht="19.5" customHeight="1" thickBot="1" x14ac:dyDescent="0.25">
      <c r="A135" s="804"/>
      <c r="B135" s="965" t="s">
        <v>533</v>
      </c>
      <c r="C135" s="1090">
        <f t="shared" si="6"/>
        <v>12000</v>
      </c>
      <c r="D135" s="875" t="s">
        <v>316</v>
      </c>
      <c r="E135" s="1194">
        <f t="shared" si="7"/>
        <v>12000</v>
      </c>
      <c r="F135" s="875" t="s">
        <v>316</v>
      </c>
      <c r="G135" s="810"/>
      <c r="H135" s="831"/>
      <c r="I135" s="1212"/>
      <c r="J135" s="1212"/>
      <c r="K135" s="1212"/>
      <c r="L135" s="1212" t="s">
        <v>869</v>
      </c>
      <c r="M135" s="1212"/>
      <c r="N135" s="1212"/>
      <c r="O135" s="1212"/>
      <c r="P135" s="1212"/>
      <c r="Q135" s="1212"/>
      <c r="R135" s="1212"/>
      <c r="S135" s="1212"/>
      <c r="T135" s="1212"/>
      <c r="U135" s="1212"/>
      <c r="V135" s="838"/>
      <c r="W135" s="636"/>
      <c r="X135" s="1135">
        <f t="shared" si="8"/>
        <v>0</v>
      </c>
      <c r="Z135" s="1154" t="s">
        <v>627</v>
      </c>
    </row>
    <row r="136" spans="1:26" ht="17.5" customHeight="1" x14ac:dyDescent="0.2">
      <c r="A136" s="804"/>
      <c r="B136" s="858" t="s">
        <v>828</v>
      </c>
      <c r="C136" s="1034" t="s">
        <v>829</v>
      </c>
      <c r="D136" s="871"/>
      <c r="E136" s="872" t="s">
        <v>609</v>
      </c>
      <c r="F136" s="873"/>
      <c r="G136" s="1188"/>
      <c r="H136" s="831"/>
      <c r="I136" s="1212" t="s">
        <v>870</v>
      </c>
      <c r="J136" s="1212"/>
      <c r="K136" s="1212"/>
      <c r="L136" s="1212" t="s">
        <v>871</v>
      </c>
      <c r="M136" s="1212"/>
      <c r="N136" s="1212"/>
      <c r="O136" s="1212"/>
      <c r="P136" s="1212"/>
      <c r="Q136" s="1212"/>
      <c r="R136" s="1212"/>
      <c r="S136" s="1212"/>
      <c r="T136" s="1212"/>
      <c r="U136" s="1212"/>
      <c r="V136" s="838"/>
      <c r="W136" s="636"/>
      <c r="X136" s="1130"/>
    </row>
    <row r="137" spans="1:26" ht="18" customHeight="1" thickBot="1" x14ac:dyDescent="0.25">
      <c r="A137" s="804"/>
      <c r="B137" s="887" t="s">
        <v>443</v>
      </c>
      <c r="C137" s="910">
        <f>C33</f>
        <v>15</v>
      </c>
      <c r="D137" s="911" t="s">
        <v>603</v>
      </c>
      <c r="E137" s="1201">
        <v>15</v>
      </c>
      <c r="F137" s="912" t="s">
        <v>303</v>
      </c>
      <c r="G137" s="1202"/>
      <c r="H137" s="831"/>
      <c r="I137" s="1212"/>
      <c r="J137" s="1212"/>
      <c r="K137" s="1212"/>
      <c r="L137" s="1212" t="s">
        <v>872</v>
      </c>
      <c r="M137" s="1212"/>
      <c r="N137" s="1212"/>
      <c r="O137" s="1212"/>
      <c r="P137" s="1212"/>
      <c r="Q137" s="1212"/>
      <c r="R137" s="1212"/>
      <c r="S137" s="1212"/>
      <c r="T137" s="1212"/>
      <c r="U137" s="1212"/>
      <c r="V137" s="838"/>
      <c r="W137" s="636"/>
      <c r="X137" s="1130"/>
    </row>
    <row r="138" spans="1:26" ht="16.5" customHeight="1" x14ac:dyDescent="0.2">
      <c r="A138" s="804"/>
      <c r="B138" s="804"/>
      <c r="C138" s="804"/>
      <c r="D138" s="804"/>
      <c r="E138" s="804"/>
      <c r="F138" s="804"/>
      <c r="G138" s="804"/>
      <c r="H138" s="805"/>
      <c r="I138" s="805"/>
      <c r="J138" s="805"/>
      <c r="K138" s="805"/>
      <c r="L138" s="805"/>
      <c r="M138" s="805"/>
      <c r="N138" s="805"/>
      <c r="O138" s="805"/>
      <c r="P138" s="805"/>
      <c r="Q138" s="805"/>
      <c r="R138" s="805"/>
      <c r="S138" s="805"/>
      <c r="T138" s="805"/>
      <c r="U138" s="805"/>
      <c r="V138" s="803"/>
      <c r="W138" s="636"/>
      <c r="X138" s="1130"/>
    </row>
    <row r="139" spans="1:26" ht="19.5" customHeight="1" thickBot="1" x14ac:dyDescent="0.3">
      <c r="A139" s="804"/>
      <c r="B139" s="802" t="s">
        <v>834</v>
      </c>
      <c r="C139" s="804"/>
      <c r="D139" s="804"/>
      <c r="E139" s="804"/>
      <c r="F139" s="804"/>
      <c r="G139" s="804"/>
      <c r="H139" s="805"/>
      <c r="I139" s="817" t="s">
        <v>659</v>
      </c>
      <c r="J139" s="818"/>
      <c r="K139" s="819"/>
      <c r="L139" s="818"/>
      <c r="M139" s="819"/>
      <c r="N139" s="820"/>
      <c r="O139" s="820"/>
      <c r="P139" s="820"/>
      <c r="Q139" s="820"/>
      <c r="R139" s="820"/>
      <c r="S139" s="820"/>
      <c r="T139" s="820"/>
      <c r="U139" s="820"/>
      <c r="V139" s="805"/>
      <c r="W139" s="636"/>
      <c r="X139" s="1130"/>
    </row>
    <row r="140" spans="1:26" ht="19.5" customHeight="1" x14ac:dyDescent="0.2">
      <c r="A140" s="804"/>
      <c r="B140" s="866" t="s">
        <v>610</v>
      </c>
      <c r="C140" s="878"/>
      <c r="D140" s="879"/>
      <c r="E140" s="945" t="s">
        <v>667</v>
      </c>
      <c r="F140" s="873"/>
      <c r="G140" s="1188"/>
      <c r="H140" s="805"/>
      <c r="I140" s="821"/>
      <c r="J140" s="821"/>
      <c r="K140" s="821"/>
      <c r="L140" s="821"/>
      <c r="M140" s="821"/>
      <c r="N140" s="821"/>
      <c r="O140" s="821"/>
      <c r="P140" s="820"/>
      <c r="Q140" s="820"/>
      <c r="R140" s="820"/>
      <c r="S140" s="820"/>
      <c r="T140" s="820"/>
      <c r="U140" s="820"/>
      <c r="V140" s="805"/>
      <c r="W140" s="636"/>
      <c r="X140" s="1130"/>
    </row>
    <row r="141" spans="1:26" ht="19.5" customHeight="1" x14ac:dyDescent="0.2">
      <c r="A141" s="804"/>
      <c r="B141" s="880" t="s">
        <v>584</v>
      </c>
      <c r="C141" s="908">
        <f>K38</f>
        <v>1172.7673335254301</v>
      </c>
      <c r="D141" s="909" t="s">
        <v>608</v>
      </c>
      <c r="E141" s="1180">
        <v>0.25</v>
      </c>
      <c r="F141" s="909"/>
      <c r="G141" s="1202"/>
      <c r="H141" s="805"/>
      <c r="I141" s="821"/>
      <c r="J141" s="821"/>
      <c r="K141" s="821"/>
      <c r="L141" s="821"/>
      <c r="M141" s="821"/>
      <c r="N141" s="821"/>
      <c r="O141" s="821"/>
      <c r="P141" s="820"/>
      <c r="Q141" s="820"/>
      <c r="R141" s="822" t="s">
        <v>660</v>
      </c>
      <c r="S141" s="820"/>
      <c r="T141" s="820"/>
      <c r="U141" s="823"/>
      <c r="V141" s="805"/>
      <c r="W141" s="636"/>
      <c r="X141" s="1130"/>
    </row>
    <row r="142" spans="1:26" ht="19.5" customHeight="1" x14ac:dyDescent="0.2">
      <c r="A142" s="804"/>
      <c r="B142" s="881" t="s">
        <v>577</v>
      </c>
      <c r="C142" s="883">
        <f>K39</f>
        <v>390.9224445084767</v>
      </c>
      <c r="D142" s="884" t="s">
        <v>608</v>
      </c>
      <c r="E142" s="1176">
        <v>0.5</v>
      </c>
      <c r="F142" s="884"/>
      <c r="G142" s="1202"/>
      <c r="H142" s="805"/>
      <c r="I142" s="821"/>
      <c r="J142" s="821"/>
      <c r="K142" s="821"/>
      <c r="L142" s="821"/>
      <c r="M142" s="821"/>
      <c r="N142" s="821"/>
      <c r="O142" s="821"/>
      <c r="P142" s="820"/>
      <c r="Q142" s="820"/>
      <c r="R142" s="822"/>
      <c r="S142" s="1342">
        <f>S8</f>
        <v>3.1145458420751337</v>
      </c>
      <c r="T142" s="1342"/>
      <c r="U142" s="826" t="s">
        <v>36</v>
      </c>
      <c r="V142" s="805"/>
      <c r="W142" s="636"/>
      <c r="X142" s="1130"/>
    </row>
    <row r="143" spans="1:26" ht="19.5" customHeight="1" x14ac:dyDescent="0.35">
      <c r="A143" s="804"/>
      <c r="B143" s="881" t="s">
        <v>752</v>
      </c>
      <c r="C143" s="885">
        <f>K41</f>
        <v>57.525830544324236</v>
      </c>
      <c r="D143" s="882" t="s">
        <v>607</v>
      </c>
      <c r="E143" s="1176">
        <v>0.5</v>
      </c>
      <c r="F143" s="884"/>
      <c r="G143" s="1202"/>
      <c r="H143" s="805"/>
      <c r="I143" s="821"/>
      <c r="J143" s="821"/>
      <c r="K143" s="821"/>
      <c r="L143" s="821"/>
      <c r="M143" s="821"/>
      <c r="N143" s="821"/>
      <c r="O143" s="821"/>
      <c r="P143" s="820"/>
      <c r="Q143" s="820"/>
      <c r="R143" s="822"/>
      <c r="S143" s="1055"/>
      <c r="T143" s="1055"/>
      <c r="U143" s="822"/>
      <c r="V143" s="805"/>
      <c r="W143" s="636"/>
      <c r="X143" s="1130"/>
    </row>
    <row r="144" spans="1:26" ht="19.5" customHeight="1" x14ac:dyDescent="0.35">
      <c r="A144" s="804"/>
      <c r="B144" s="881" t="s">
        <v>214</v>
      </c>
      <c r="C144" s="886">
        <f>K42</f>
        <v>24.653927376138959</v>
      </c>
      <c r="D144" s="882" t="s">
        <v>607</v>
      </c>
      <c r="E144" s="1176">
        <v>0.5</v>
      </c>
      <c r="F144" s="884"/>
      <c r="G144" s="1202"/>
      <c r="H144" s="805"/>
      <c r="I144" s="821"/>
      <c r="J144" s="821"/>
      <c r="K144" s="821"/>
      <c r="L144" s="821"/>
      <c r="M144" s="824"/>
      <c r="N144" s="824"/>
      <c r="O144" s="820"/>
      <c r="P144" s="820"/>
      <c r="Q144" s="820"/>
      <c r="R144" s="827" t="s">
        <v>661</v>
      </c>
      <c r="S144" s="825"/>
      <c r="T144" s="825"/>
      <c r="U144" s="826"/>
      <c r="V144" s="805"/>
      <c r="W144" s="636"/>
      <c r="X144" s="1130"/>
    </row>
    <row r="145" spans="1:38" ht="19.5" customHeight="1" x14ac:dyDescent="0.35">
      <c r="A145" s="804"/>
      <c r="B145" s="881" t="s">
        <v>718</v>
      </c>
      <c r="C145" s="886">
        <f>K43</f>
        <v>41.089878960231601</v>
      </c>
      <c r="D145" s="882" t="s">
        <v>607</v>
      </c>
      <c r="E145" s="1176">
        <v>0.5</v>
      </c>
      <c r="F145" s="884"/>
      <c r="G145" s="1202"/>
      <c r="H145" s="805"/>
      <c r="I145" s="821"/>
      <c r="J145" s="821"/>
      <c r="K145" s="821"/>
      <c r="L145" s="821"/>
      <c r="M145" s="824"/>
      <c r="N145" s="824"/>
      <c r="O145" s="825"/>
      <c r="P145" s="825"/>
      <c r="Q145" s="825"/>
      <c r="R145" s="826"/>
      <c r="S145" s="1340">
        <f>S10</f>
        <v>15</v>
      </c>
      <c r="T145" s="1340"/>
      <c r="U145" s="827" t="s">
        <v>132</v>
      </c>
      <c r="V145" s="805"/>
      <c r="W145" s="636"/>
      <c r="X145" s="1130"/>
    </row>
    <row r="146" spans="1:38" ht="19.5" customHeight="1" x14ac:dyDescent="0.35">
      <c r="A146" s="804"/>
      <c r="B146" s="881" t="s">
        <v>202</v>
      </c>
      <c r="C146" s="886">
        <f>K44</f>
        <v>24.653927376138959</v>
      </c>
      <c r="D146" s="882" t="s">
        <v>607</v>
      </c>
      <c r="E146" s="1169">
        <v>1</v>
      </c>
      <c r="F146" s="884" t="s">
        <v>938</v>
      </c>
      <c r="G146" s="1202"/>
      <c r="H146" s="805"/>
      <c r="I146" s="821"/>
      <c r="J146" s="821"/>
      <c r="K146" s="821"/>
      <c r="L146" s="821"/>
      <c r="M146" s="824"/>
      <c r="N146" s="824"/>
      <c r="O146" s="825"/>
      <c r="P146" s="825"/>
      <c r="Q146" s="825"/>
      <c r="R146" s="826"/>
      <c r="S146" s="1002"/>
      <c r="T146" s="1002"/>
      <c r="U146" s="827"/>
      <c r="V146" s="805"/>
      <c r="W146" s="636"/>
      <c r="X146" s="1130"/>
    </row>
    <row r="147" spans="1:38" ht="18" thickBot="1" x14ac:dyDescent="0.25">
      <c r="A147" s="804"/>
      <c r="B147" s="887" t="s">
        <v>749</v>
      </c>
      <c r="C147" s="888">
        <f>K45</f>
        <v>16.435951584092642</v>
      </c>
      <c r="D147" s="889" t="s">
        <v>607</v>
      </c>
      <c r="E147" s="1181">
        <v>0.5</v>
      </c>
      <c r="F147" s="907"/>
      <c r="G147" s="1203"/>
      <c r="H147" s="805"/>
      <c r="I147" s="821"/>
      <c r="J147" s="821"/>
      <c r="K147" s="821"/>
      <c r="L147" s="821"/>
      <c r="M147" s="824"/>
      <c r="N147" s="824"/>
      <c r="O147" s="825"/>
      <c r="P147" s="825"/>
      <c r="Q147" s="825"/>
      <c r="R147" s="822" t="s">
        <v>662</v>
      </c>
      <c r="S147" s="820"/>
      <c r="T147" s="820"/>
      <c r="U147" s="823"/>
      <c r="V147" s="805"/>
      <c r="W147" s="636"/>
      <c r="X147" s="1130"/>
    </row>
    <row r="148" spans="1:38" ht="19" x14ac:dyDescent="0.2">
      <c r="A148" s="804"/>
      <c r="B148" s="804"/>
      <c r="C148" s="804"/>
      <c r="D148" s="804"/>
      <c r="E148" s="804"/>
      <c r="F148" s="1036" t="s">
        <v>833</v>
      </c>
      <c r="G148" s="1036"/>
      <c r="H148" s="805"/>
      <c r="I148" s="821"/>
      <c r="J148" s="821"/>
      <c r="K148" s="821"/>
      <c r="L148" s="821"/>
      <c r="M148" s="824"/>
      <c r="N148" s="824"/>
      <c r="O148" s="825"/>
      <c r="P148" s="825"/>
      <c r="Q148" s="825"/>
      <c r="R148" s="822"/>
      <c r="S148" s="1342">
        <f>S12</f>
        <v>1434.8871419914879</v>
      </c>
      <c r="T148" s="1342"/>
      <c r="U148" s="827" t="s">
        <v>304</v>
      </c>
      <c r="V148" s="805"/>
      <c r="W148" s="636"/>
      <c r="X148" s="1130"/>
    </row>
    <row r="149" spans="1:38" ht="19" x14ac:dyDescent="0.2">
      <c r="A149" s="804"/>
      <c r="B149" s="804"/>
      <c r="C149" s="804"/>
      <c r="D149" s="804"/>
      <c r="E149" s="804"/>
      <c r="F149" s="804"/>
      <c r="G149" s="804"/>
      <c r="H149" s="805"/>
      <c r="I149" s="821"/>
      <c r="J149" s="821"/>
      <c r="K149" s="821"/>
      <c r="L149" s="821"/>
      <c r="M149" s="824"/>
      <c r="N149" s="824"/>
      <c r="O149" s="820"/>
      <c r="P149" s="820"/>
      <c r="Q149" s="820"/>
      <c r="R149" s="822"/>
      <c r="S149" s="1054"/>
      <c r="T149" s="1054"/>
      <c r="U149" s="827"/>
      <c r="V149" s="805"/>
      <c r="W149" s="636"/>
      <c r="X149" s="1130"/>
    </row>
    <row r="150" spans="1:38" ht="21.5" thickBot="1" x14ac:dyDescent="0.25">
      <c r="A150" s="804"/>
      <c r="B150" s="802" t="s">
        <v>611</v>
      </c>
      <c r="C150" s="804"/>
      <c r="D150" s="804"/>
      <c r="E150" s="804"/>
      <c r="F150" s="804"/>
      <c r="G150" s="804"/>
      <c r="H150" s="805"/>
      <c r="I150" s="821"/>
      <c r="J150" s="821"/>
      <c r="K150" s="821"/>
      <c r="L150" s="821"/>
      <c r="M150" s="824"/>
      <c r="N150" s="824"/>
      <c r="O150" s="825"/>
      <c r="P150" s="825"/>
      <c r="Q150" s="825"/>
      <c r="R150" s="827" t="s">
        <v>663</v>
      </c>
      <c r="S150" s="825"/>
      <c r="T150" s="825"/>
      <c r="U150" s="826"/>
      <c r="V150" s="805"/>
      <c r="W150" s="636"/>
      <c r="X150" s="1130"/>
    </row>
    <row r="151" spans="1:38" ht="20" x14ac:dyDescent="0.2">
      <c r="A151" s="804"/>
      <c r="B151" s="866" t="s">
        <v>610</v>
      </c>
      <c r="C151" s="952"/>
      <c r="D151" s="953"/>
      <c r="E151" s="808" t="s">
        <v>701</v>
      </c>
      <c r="F151" s="809"/>
      <c r="G151" s="1188"/>
      <c r="H151" s="813"/>
      <c r="I151" s="821"/>
      <c r="J151" s="821"/>
      <c r="K151" s="821"/>
      <c r="L151" s="821"/>
      <c r="M151" s="824"/>
      <c r="N151" s="824"/>
      <c r="O151" s="825"/>
      <c r="P151" s="825"/>
      <c r="Q151" s="825"/>
      <c r="R151" s="826"/>
      <c r="S151" s="1338">
        <f>地域経済性計算シート!C554*100</f>
        <v>8.896229126429489</v>
      </c>
      <c r="T151" s="1338"/>
      <c r="U151" s="826" t="s">
        <v>36</v>
      </c>
      <c r="V151" s="805"/>
      <c r="W151" s="636"/>
      <c r="X151" s="1130"/>
    </row>
    <row r="152" spans="1:38" ht="20" x14ac:dyDescent="0.2">
      <c r="A152" s="804"/>
      <c r="B152" s="880" t="s">
        <v>668</v>
      </c>
      <c r="C152" s="908">
        <f>SUM(C141:C142)</f>
        <v>1563.6897780339068</v>
      </c>
      <c r="D152" s="909" t="s">
        <v>304</v>
      </c>
      <c r="E152" s="913"/>
      <c r="F152" s="951"/>
      <c r="G152" s="1204"/>
      <c r="H152" s="813"/>
      <c r="I152" s="821"/>
      <c r="J152" s="821"/>
      <c r="K152" s="821"/>
      <c r="L152" s="821"/>
      <c r="M152" s="824"/>
      <c r="N152" s="824"/>
      <c r="O152" s="825"/>
      <c r="P152" s="825"/>
      <c r="Q152" s="825"/>
      <c r="R152" s="826"/>
      <c r="S152" s="1056"/>
      <c r="T152" s="1056"/>
      <c r="U152" s="826"/>
      <c r="V152" s="805"/>
      <c r="W152" s="636"/>
      <c r="X152" s="1130"/>
    </row>
    <row r="153" spans="1:38" ht="20" x14ac:dyDescent="0.2">
      <c r="A153" s="804"/>
      <c r="B153" s="880" t="s">
        <v>612</v>
      </c>
      <c r="C153" s="908"/>
      <c r="D153" s="909"/>
      <c r="E153" s="1180">
        <v>0.5</v>
      </c>
      <c r="F153" s="884"/>
      <c r="G153" s="1202"/>
      <c r="H153" s="813"/>
      <c r="I153" s="821"/>
      <c r="J153" s="821"/>
      <c r="K153" s="821"/>
      <c r="L153" s="821"/>
      <c r="M153" s="824"/>
      <c r="N153" s="824"/>
      <c r="O153" s="825"/>
      <c r="P153" s="825"/>
      <c r="Q153" s="825"/>
      <c r="R153" s="827" t="s">
        <v>664</v>
      </c>
      <c r="S153" s="825"/>
      <c r="T153" s="825"/>
      <c r="U153" s="826"/>
      <c r="V153" s="805"/>
      <c r="W153" s="636"/>
      <c r="X153" s="1130"/>
    </row>
    <row r="154" spans="1:38" ht="20.5" thickBot="1" x14ac:dyDescent="0.25">
      <c r="A154" s="804"/>
      <c r="B154" s="954" t="s">
        <v>613</v>
      </c>
      <c r="C154" s="955"/>
      <c r="D154" s="956"/>
      <c r="E154" s="1182">
        <v>0.5</v>
      </c>
      <c r="F154" s="912"/>
      <c r="G154" s="1202"/>
      <c r="H154" s="813"/>
      <c r="I154" s="821"/>
      <c r="J154" s="821"/>
      <c r="K154" s="821"/>
      <c r="L154" s="821"/>
      <c r="M154" s="824"/>
      <c r="N154" s="824"/>
      <c r="O154" s="825"/>
      <c r="P154" s="825"/>
      <c r="Q154" s="825"/>
      <c r="R154" s="826"/>
      <c r="S154" s="1338">
        <f>地域経済性計算シート!C555</f>
        <v>10</v>
      </c>
      <c r="T154" s="1338"/>
      <c r="U154" s="827" t="s">
        <v>132</v>
      </c>
      <c r="V154" s="805"/>
      <c r="W154" s="636"/>
      <c r="X154" s="1130"/>
    </row>
    <row r="155" spans="1:38" ht="20" x14ac:dyDescent="0.2">
      <c r="A155" s="804"/>
      <c r="B155" s="813"/>
      <c r="C155" s="813"/>
      <c r="D155" s="813"/>
      <c r="E155" s="813"/>
      <c r="F155" s="813"/>
      <c r="G155" s="813"/>
      <c r="H155" s="813"/>
      <c r="I155" s="821"/>
      <c r="J155" s="821"/>
      <c r="K155" s="821"/>
      <c r="L155" s="821"/>
      <c r="M155" s="824"/>
      <c r="N155" s="824"/>
      <c r="O155" s="825"/>
      <c r="P155" s="825"/>
      <c r="Q155" s="825"/>
      <c r="R155" s="826"/>
      <c r="S155" s="1056"/>
      <c r="T155" s="1056"/>
      <c r="U155" s="827"/>
      <c r="V155" s="805"/>
      <c r="W155" s="636"/>
      <c r="X155" s="1130"/>
    </row>
    <row r="156" spans="1:38" ht="20" x14ac:dyDescent="0.2">
      <c r="A156" s="804"/>
      <c r="B156" s="816"/>
      <c r="C156" s="867"/>
      <c r="D156" s="810"/>
      <c r="E156" s="868"/>
      <c r="F156" s="868"/>
      <c r="G156" s="868"/>
      <c r="H156" s="805"/>
      <c r="I156" s="813"/>
      <c r="J156" s="813"/>
      <c r="K156" s="813"/>
      <c r="L156" s="813"/>
      <c r="M156" s="814"/>
      <c r="N156" s="814"/>
      <c r="O156" s="814"/>
      <c r="P156" s="813"/>
      <c r="Q156" s="813"/>
      <c r="R156" s="813"/>
      <c r="S156" s="813"/>
      <c r="T156" s="813"/>
      <c r="U156" s="813"/>
      <c r="V156" s="805"/>
      <c r="W156" s="636"/>
      <c r="X156" s="1130"/>
    </row>
    <row r="157" spans="1:38" ht="16" customHeight="1" x14ac:dyDescent="0.2">
      <c r="A157" s="905"/>
      <c r="B157" s="857"/>
      <c r="C157" s="869"/>
      <c r="D157" s="870"/>
      <c r="E157" s="898"/>
      <c r="F157" s="898"/>
      <c r="G157" s="898"/>
      <c r="H157" s="906"/>
      <c r="I157" s="901"/>
      <c r="J157" s="901"/>
      <c r="K157" s="901"/>
      <c r="L157" s="901"/>
      <c r="M157" s="900"/>
      <c r="N157" s="900"/>
      <c r="O157" s="900"/>
      <c r="P157" s="901"/>
      <c r="Q157" s="901"/>
      <c r="R157" s="901"/>
      <c r="S157" s="901"/>
      <c r="T157" s="901"/>
      <c r="U157" s="901"/>
      <c r="V157" s="906"/>
      <c r="W157" s="636"/>
      <c r="X157" s="1130"/>
    </row>
    <row r="158" spans="1:38" s="904" customFormat="1" ht="20" x14ac:dyDescent="0.2">
      <c r="A158" s="899"/>
      <c r="B158" s="900"/>
      <c r="C158" s="900"/>
      <c r="D158" s="900"/>
      <c r="E158" s="900"/>
      <c r="F158" s="900"/>
      <c r="G158" s="900"/>
      <c r="H158" s="901"/>
      <c r="I158" s="902"/>
      <c r="J158" s="902"/>
      <c r="K158" s="901"/>
      <c r="L158" s="901"/>
      <c r="M158" s="901"/>
      <c r="N158" s="901"/>
      <c r="O158" s="901"/>
      <c r="P158" s="901"/>
      <c r="Q158" s="901"/>
      <c r="R158" s="901"/>
      <c r="S158" s="901"/>
      <c r="T158" s="901"/>
      <c r="U158" s="901"/>
      <c r="V158" s="903"/>
      <c r="W158" s="1198"/>
      <c r="X158" s="1163"/>
      <c r="Y158" s="1164"/>
      <c r="Z158" s="1164"/>
      <c r="AA158" s="1165"/>
      <c r="AB158" s="1164"/>
      <c r="AC158" s="1164"/>
      <c r="AD158" s="1164"/>
      <c r="AE158" s="1164"/>
      <c r="AF158" s="1165"/>
      <c r="AG158" s="1165"/>
      <c r="AH158" s="1165"/>
      <c r="AI158" s="1165"/>
      <c r="AJ158" s="1165"/>
      <c r="AK158" s="1165"/>
      <c r="AL158" s="1165"/>
    </row>
    <row r="159" spans="1:38" s="904" customFormat="1" ht="20" x14ac:dyDescent="0.2">
      <c r="A159" s="899"/>
      <c r="B159" s="900"/>
      <c r="C159" s="900"/>
      <c r="D159" s="900"/>
      <c r="E159" s="900"/>
      <c r="F159" s="900"/>
      <c r="G159" s="900"/>
      <c r="H159" s="901"/>
      <c r="I159" s="902"/>
      <c r="J159" s="902"/>
      <c r="K159" s="901"/>
      <c r="L159" s="901"/>
      <c r="M159" s="901"/>
      <c r="N159" s="901"/>
      <c r="O159" s="901"/>
      <c r="P159" s="901"/>
      <c r="Q159" s="901"/>
      <c r="R159" s="901"/>
      <c r="S159" s="901"/>
      <c r="T159" s="901"/>
      <c r="U159" s="901"/>
      <c r="V159" s="903"/>
      <c r="W159" s="1198"/>
      <c r="X159" s="1163"/>
      <c r="Y159" s="1164"/>
      <c r="Z159" s="1164"/>
      <c r="AA159" s="1165"/>
      <c r="AB159" s="1164"/>
      <c r="AC159" s="1164"/>
      <c r="AD159" s="1164"/>
      <c r="AE159" s="1164"/>
      <c r="AF159" s="1165"/>
      <c r="AG159" s="1165"/>
      <c r="AH159" s="1165"/>
      <c r="AI159" s="1165"/>
      <c r="AJ159" s="1165"/>
      <c r="AK159" s="1165"/>
      <c r="AL159" s="1165"/>
    </row>
    <row r="160" spans="1:38" ht="33" customHeight="1" x14ac:dyDescent="0.4">
      <c r="A160" s="634"/>
      <c r="B160" s="1091" t="s">
        <v>878</v>
      </c>
      <c r="C160" s="631"/>
      <c r="D160" s="632"/>
      <c r="E160" s="631"/>
      <c r="F160" s="632"/>
      <c r="G160" s="632"/>
      <c r="H160" s="633"/>
      <c r="I160" s="633"/>
      <c r="J160" s="633"/>
      <c r="K160" s="633"/>
      <c r="L160" s="633"/>
      <c r="M160" s="633"/>
      <c r="N160" s="633"/>
      <c r="O160" s="634"/>
      <c r="P160" s="634"/>
      <c r="Q160" s="634"/>
      <c r="R160" s="634"/>
      <c r="S160" s="634"/>
      <c r="T160" s="634"/>
      <c r="U160" s="634"/>
      <c r="V160" s="634"/>
      <c r="W160" s="636"/>
      <c r="X160" s="1130"/>
    </row>
    <row r="161" spans="1:24" ht="20.5" thickBot="1" x14ac:dyDescent="0.25">
      <c r="A161" s="804"/>
      <c r="B161" s="816"/>
      <c r="C161" s="867"/>
      <c r="D161" s="810"/>
      <c r="E161" s="868"/>
      <c r="F161" s="868"/>
      <c r="G161" s="868"/>
      <c r="H161" s="805"/>
      <c r="I161" s="813"/>
      <c r="J161" s="813"/>
      <c r="K161" s="813"/>
      <c r="L161" s="813"/>
      <c r="M161" s="814"/>
      <c r="N161" s="814"/>
      <c r="O161" s="814"/>
      <c r="P161" s="813"/>
      <c r="Q161" s="813"/>
      <c r="R161" s="813"/>
      <c r="S161" s="813"/>
      <c r="T161" s="813"/>
      <c r="U161" s="813"/>
      <c r="V161" s="805"/>
      <c r="W161" s="636"/>
      <c r="X161" s="1130"/>
    </row>
    <row r="162" spans="1:24" ht="21" x14ac:dyDescent="0.2">
      <c r="A162" s="804"/>
      <c r="B162" s="943" t="s">
        <v>671</v>
      </c>
      <c r="C162" s="925"/>
      <c r="D162" s="926"/>
      <c r="E162" s="927"/>
      <c r="F162" s="927"/>
      <c r="G162" s="927"/>
      <c r="H162" s="942"/>
      <c r="I162" s="928"/>
      <c r="J162" s="928"/>
      <c r="K162" s="928"/>
      <c r="L162" s="928"/>
      <c r="M162" s="928"/>
      <c r="N162" s="928"/>
      <c r="O162" s="928"/>
      <c r="P162" s="928"/>
      <c r="Q162" s="928"/>
      <c r="R162" s="928"/>
      <c r="S162" s="928"/>
      <c r="T162" s="928"/>
      <c r="U162" s="929"/>
      <c r="V162" s="805"/>
      <c r="W162" s="636"/>
      <c r="X162" s="1130"/>
    </row>
    <row r="163" spans="1:24" ht="20" x14ac:dyDescent="0.2">
      <c r="A163" s="804"/>
      <c r="B163" s="944" t="s">
        <v>673</v>
      </c>
      <c r="C163" s="869"/>
      <c r="D163" s="870"/>
      <c r="E163" s="898"/>
      <c r="F163" s="898"/>
      <c r="G163" s="898"/>
      <c r="H163" s="902" t="s">
        <v>672</v>
      </c>
      <c r="I163" s="901"/>
      <c r="J163" s="901"/>
      <c r="K163" s="901"/>
      <c r="L163" s="901"/>
      <c r="M163" s="901"/>
      <c r="N163" s="901"/>
      <c r="O163" s="901"/>
      <c r="P163" s="901"/>
      <c r="Q163" s="901"/>
      <c r="R163" s="901"/>
      <c r="S163" s="901"/>
      <c r="T163" s="901"/>
      <c r="U163" s="931"/>
      <c r="V163" s="805"/>
      <c r="W163" s="636"/>
      <c r="X163" s="1130"/>
    </row>
    <row r="164" spans="1:24" ht="20" x14ac:dyDescent="0.2">
      <c r="A164" s="804"/>
      <c r="B164" s="930"/>
      <c r="C164" s="869"/>
      <c r="D164" s="870"/>
      <c r="E164" s="898"/>
      <c r="F164" s="898"/>
      <c r="G164" s="898"/>
      <c r="H164" s="906"/>
      <c r="I164" s="901"/>
      <c r="J164" s="901"/>
      <c r="K164" s="901"/>
      <c r="L164" s="901"/>
      <c r="M164" s="901"/>
      <c r="N164" s="901"/>
      <c r="O164" s="901"/>
      <c r="P164" s="901"/>
      <c r="Q164" s="901"/>
      <c r="R164" s="901"/>
      <c r="S164" s="901"/>
      <c r="T164" s="901"/>
      <c r="U164" s="931"/>
      <c r="V164" s="805"/>
      <c r="W164" s="636"/>
      <c r="X164" s="1130"/>
    </row>
    <row r="165" spans="1:24" ht="20" x14ac:dyDescent="0.2">
      <c r="A165" s="804"/>
      <c r="B165" s="930"/>
      <c r="C165" s="869"/>
      <c r="D165" s="870"/>
      <c r="E165" s="898"/>
      <c r="F165" s="898"/>
      <c r="G165" s="898"/>
      <c r="H165" s="906"/>
      <c r="I165" s="901"/>
      <c r="J165" s="901"/>
      <c r="K165" s="901"/>
      <c r="L165" s="901"/>
      <c r="M165" s="901"/>
      <c r="N165" s="901"/>
      <c r="O165" s="901"/>
      <c r="P165" s="901"/>
      <c r="Q165" s="901"/>
      <c r="R165" s="901"/>
      <c r="S165" s="901"/>
      <c r="T165" s="901"/>
      <c r="U165" s="931"/>
      <c r="V165" s="805"/>
      <c r="W165" s="636"/>
      <c r="X165" s="1130"/>
    </row>
    <row r="166" spans="1:24" ht="20" x14ac:dyDescent="0.2">
      <c r="A166" s="804"/>
      <c r="B166" s="930"/>
      <c r="C166" s="869"/>
      <c r="D166" s="870"/>
      <c r="E166" s="898"/>
      <c r="F166" s="898"/>
      <c r="G166" s="898"/>
      <c r="H166" s="906"/>
      <c r="I166" s="901"/>
      <c r="J166" s="901"/>
      <c r="K166" s="901"/>
      <c r="L166" s="901"/>
      <c r="M166" s="901"/>
      <c r="N166" s="901"/>
      <c r="O166" s="901"/>
      <c r="P166" s="901"/>
      <c r="Q166" s="901"/>
      <c r="R166" s="901"/>
      <c r="S166" s="901"/>
      <c r="T166" s="901"/>
      <c r="U166" s="931"/>
      <c r="V166" s="805"/>
      <c r="W166" s="636"/>
      <c r="X166" s="1130"/>
    </row>
    <row r="167" spans="1:24" ht="20" x14ac:dyDescent="0.2">
      <c r="A167" s="804"/>
      <c r="B167" s="930"/>
      <c r="C167" s="869"/>
      <c r="D167" s="870"/>
      <c r="E167" s="898"/>
      <c r="F167" s="898"/>
      <c r="G167" s="898"/>
      <c r="H167" s="906"/>
      <c r="I167" s="901"/>
      <c r="J167" s="901"/>
      <c r="K167" s="901"/>
      <c r="L167" s="901"/>
      <c r="M167" s="901"/>
      <c r="N167" s="901"/>
      <c r="O167" s="901"/>
      <c r="P167" s="901"/>
      <c r="Q167" s="901"/>
      <c r="R167" s="901"/>
      <c r="S167" s="901"/>
      <c r="T167" s="901"/>
      <c r="U167" s="931"/>
      <c r="V167" s="805"/>
      <c r="W167" s="636"/>
      <c r="X167" s="1130"/>
    </row>
    <row r="168" spans="1:24" ht="20" x14ac:dyDescent="0.2">
      <c r="A168" s="804"/>
      <c r="B168" s="930"/>
      <c r="C168" s="869"/>
      <c r="D168" s="870"/>
      <c r="E168" s="898"/>
      <c r="F168" s="898"/>
      <c r="G168" s="898"/>
      <c r="H168" s="906"/>
      <c r="I168" s="901"/>
      <c r="J168" s="901"/>
      <c r="K168" s="901"/>
      <c r="L168" s="901"/>
      <c r="M168" s="901"/>
      <c r="N168" s="901"/>
      <c r="O168" s="901"/>
      <c r="P168" s="901"/>
      <c r="Q168" s="901"/>
      <c r="R168" s="901"/>
      <c r="S168" s="901"/>
      <c r="T168" s="901"/>
      <c r="U168" s="931"/>
      <c r="V168" s="805"/>
      <c r="W168" s="636"/>
      <c r="X168" s="1130"/>
    </row>
    <row r="169" spans="1:24" ht="20" x14ac:dyDescent="0.2">
      <c r="A169" s="804"/>
      <c r="B169" s="930"/>
      <c r="C169" s="869"/>
      <c r="D169" s="870"/>
      <c r="E169" s="898"/>
      <c r="F169" s="898"/>
      <c r="G169" s="898"/>
      <c r="H169" s="906"/>
      <c r="I169" s="901"/>
      <c r="J169" s="901"/>
      <c r="K169" s="901"/>
      <c r="L169" s="901"/>
      <c r="M169" s="901"/>
      <c r="N169" s="901"/>
      <c r="O169" s="901"/>
      <c r="P169" s="901"/>
      <c r="Q169" s="901"/>
      <c r="R169" s="901"/>
      <c r="S169" s="901"/>
      <c r="T169" s="901"/>
      <c r="U169" s="931"/>
      <c r="V169" s="805"/>
      <c r="W169" s="636"/>
      <c r="X169" s="1130"/>
    </row>
    <row r="170" spans="1:24" ht="20" x14ac:dyDescent="0.2">
      <c r="A170" s="804"/>
      <c r="B170" s="930"/>
      <c r="C170" s="869"/>
      <c r="D170" s="870"/>
      <c r="E170" s="898"/>
      <c r="F170" s="898"/>
      <c r="G170" s="898"/>
      <c r="H170" s="906"/>
      <c r="I170" s="901"/>
      <c r="J170" s="901"/>
      <c r="K170" s="901"/>
      <c r="L170" s="901"/>
      <c r="M170" s="901"/>
      <c r="N170" s="901"/>
      <c r="O170" s="901"/>
      <c r="P170" s="901"/>
      <c r="Q170" s="901"/>
      <c r="R170" s="901"/>
      <c r="S170" s="901"/>
      <c r="T170" s="901"/>
      <c r="U170" s="931"/>
      <c r="V170" s="805"/>
      <c r="W170" s="636"/>
      <c r="X170" s="1130"/>
    </row>
    <row r="171" spans="1:24" ht="20" x14ac:dyDescent="0.2">
      <c r="A171" s="804"/>
      <c r="B171" s="930"/>
      <c r="C171" s="869"/>
      <c r="D171" s="870"/>
      <c r="E171" s="898"/>
      <c r="F171" s="898"/>
      <c r="G171" s="898"/>
      <c r="H171" s="906"/>
      <c r="I171" s="901"/>
      <c r="J171" s="901"/>
      <c r="K171" s="901"/>
      <c r="L171" s="901"/>
      <c r="M171" s="901"/>
      <c r="N171" s="901"/>
      <c r="O171" s="901"/>
      <c r="P171" s="901"/>
      <c r="Q171" s="901"/>
      <c r="R171" s="901"/>
      <c r="S171" s="901"/>
      <c r="T171" s="901"/>
      <c r="U171" s="931"/>
      <c r="V171" s="805"/>
      <c r="W171" s="636"/>
      <c r="X171" s="1130"/>
    </row>
    <row r="172" spans="1:24" ht="20" x14ac:dyDescent="0.2">
      <c r="A172" s="804"/>
      <c r="B172" s="930"/>
      <c r="C172" s="869"/>
      <c r="D172" s="870"/>
      <c r="E172" s="898"/>
      <c r="F172" s="898"/>
      <c r="G172" s="898"/>
      <c r="H172" s="906"/>
      <c r="I172" s="901"/>
      <c r="J172" s="901"/>
      <c r="K172" s="901"/>
      <c r="L172" s="901"/>
      <c r="M172" s="901"/>
      <c r="N172" s="901"/>
      <c r="O172" s="901"/>
      <c r="P172" s="901"/>
      <c r="Q172" s="901"/>
      <c r="R172" s="901"/>
      <c r="S172" s="901"/>
      <c r="T172" s="901"/>
      <c r="U172" s="931"/>
      <c r="V172" s="805"/>
      <c r="W172" s="636"/>
      <c r="X172" s="1130"/>
    </row>
    <row r="173" spans="1:24" ht="20" x14ac:dyDescent="0.2">
      <c r="A173" s="804"/>
      <c r="B173" s="930"/>
      <c r="C173" s="869"/>
      <c r="D173" s="870"/>
      <c r="E173" s="898"/>
      <c r="F173" s="898"/>
      <c r="G173" s="898"/>
      <c r="H173" s="906"/>
      <c r="I173" s="901"/>
      <c r="J173" s="901"/>
      <c r="K173" s="901"/>
      <c r="L173" s="901"/>
      <c r="M173" s="901"/>
      <c r="N173" s="901"/>
      <c r="O173" s="901"/>
      <c r="P173" s="901"/>
      <c r="Q173" s="901"/>
      <c r="R173" s="901"/>
      <c r="S173" s="901"/>
      <c r="T173" s="901"/>
      <c r="U173" s="931"/>
      <c r="V173" s="805"/>
      <c r="W173" s="636"/>
      <c r="X173" s="1130"/>
    </row>
    <row r="174" spans="1:24" ht="20" x14ac:dyDescent="0.2">
      <c r="A174" s="804"/>
      <c r="B174" s="930"/>
      <c r="C174" s="869"/>
      <c r="D174" s="870"/>
      <c r="E174" s="898"/>
      <c r="F174" s="898"/>
      <c r="G174" s="898"/>
      <c r="H174" s="906"/>
      <c r="I174" s="901"/>
      <c r="J174" s="901"/>
      <c r="K174" s="901"/>
      <c r="L174" s="901"/>
      <c r="M174" s="901"/>
      <c r="N174" s="901"/>
      <c r="O174" s="901"/>
      <c r="P174" s="901"/>
      <c r="Q174" s="901"/>
      <c r="R174" s="901"/>
      <c r="S174" s="901"/>
      <c r="T174" s="901"/>
      <c r="U174" s="931"/>
      <c r="V174" s="805"/>
      <c r="W174" s="636"/>
      <c r="X174" s="1130"/>
    </row>
    <row r="175" spans="1:24" ht="20" x14ac:dyDescent="0.2">
      <c r="A175" s="804"/>
      <c r="B175" s="930"/>
      <c r="C175" s="869"/>
      <c r="D175" s="870"/>
      <c r="E175" s="898"/>
      <c r="F175" s="898"/>
      <c r="G175" s="898"/>
      <c r="H175" s="906"/>
      <c r="I175" s="901"/>
      <c r="J175" s="901"/>
      <c r="K175" s="901"/>
      <c r="L175" s="901"/>
      <c r="M175" s="901"/>
      <c r="N175" s="901"/>
      <c r="O175" s="901"/>
      <c r="P175" s="901"/>
      <c r="Q175" s="901"/>
      <c r="R175" s="901"/>
      <c r="S175" s="901"/>
      <c r="T175" s="901"/>
      <c r="U175" s="931"/>
      <c r="V175" s="805"/>
      <c r="W175" s="636"/>
      <c r="X175" s="1130"/>
    </row>
    <row r="176" spans="1:24" ht="20" x14ac:dyDescent="0.2">
      <c r="A176" s="804"/>
      <c r="B176" s="930"/>
      <c r="C176" s="869"/>
      <c r="D176" s="870"/>
      <c r="E176" s="898"/>
      <c r="F176" s="898"/>
      <c r="G176" s="898"/>
      <c r="H176" s="906"/>
      <c r="I176" s="901"/>
      <c r="J176" s="901"/>
      <c r="K176" s="901"/>
      <c r="L176" s="901"/>
      <c r="M176" s="901"/>
      <c r="N176" s="901"/>
      <c r="O176" s="901"/>
      <c r="P176" s="901"/>
      <c r="Q176" s="901"/>
      <c r="R176" s="901"/>
      <c r="S176" s="901"/>
      <c r="T176" s="901"/>
      <c r="U176" s="931"/>
      <c r="V176" s="805"/>
      <c r="W176" s="636"/>
      <c r="X176" s="1130"/>
    </row>
    <row r="177" spans="1:31" ht="20" x14ac:dyDescent="0.2">
      <c r="A177" s="804"/>
      <c r="B177" s="930"/>
      <c r="C177" s="869"/>
      <c r="D177" s="870"/>
      <c r="E177" s="898"/>
      <c r="F177" s="898"/>
      <c r="G177" s="898"/>
      <c r="H177" s="906"/>
      <c r="I177" s="901"/>
      <c r="J177" s="901"/>
      <c r="K177" s="901"/>
      <c r="L177" s="901"/>
      <c r="M177" s="901"/>
      <c r="N177" s="901"/>
      <c r="O177" s="901"/>
      <c r="P177" s="901"/>
      <c r="Q177" s="901"/>
      <c r="R177" s="901"/>
      <c r="S177" s="901"/>
      <c r="T177" s="901"/>
      <c r="U177" s="931"/>
      <c r="V177" s="805"/>
      <c r="W177" s="636"/>
      <c r="X177" s="1130"/>
    </row>
    <row r="178" spans="1:31" ht="20" x14ac:dyDescent="0.2">
      <c r="A178" s="804"/>
      <c r="B178" s="930"/>
      <c r="C178" s="869"/>
      <c r="D178" s="870"/>
      <c r="E178" s="898"/>
      <c r="F178" s="898"/>
      <c r="G178" s="898"/>
      <c r="H178" s="906"/>
      <c r="I178" s="901"/>
      <c r="J178" s="901"/>
      <c r="K178" s="901"/>
      <c r="L178" s="901"/>
      <c r="M178" s="901"/>
      <c r="N178" s="901"/>
      <c r="O178" s="901"/>
      <c r="P178" s="901"/>
      <c r="Q178" s="901"/>
      <c r="R178" s="901"/>
      <c r="S178" s="901"/>
      <c r="T178" s="901"/>
      <c r="U178" s="931"/>
      <c r="V178" s="805"/>
      <c r="W178" s="636"/>
      <c r="X178" s="1130"/>
    </row>
    <row r="179" spans="1:31" ht="20" x14ac:dyDescent="0.2">
      <c r="A179" s="804"/>
      <c r="B179" s="930"/>
      <c r="C179" s="869"/>
      <c r="D179" s="870"/>
      <c r="E179" s="898"/>
      <c r="F179" s="898"/>
      <c r="G179" s="898"/>
      <c r="H179" s="906"/>
      <c r="I179" s="901"/>
      <c r="J179" s="901"/>
      <c r="K179" s="901"/>
      <c r="L179" s="901"/>
      <c r="M179" s="901"/>
      <c r="N179" s="901"/>
      <c r="O179" s="901"/>
      <c r="P179" s="901"/>
      <c r="Q179" s="901"/>
      <c r="R179" s="901"/>
      <c r="S179" s="901"/>
      <c r="T179" s="901"/>
      <c r="U179" s="931"/>
      <c r="V179" s="805"/>
      <c r="W179" s="636"/>
      <c r="X179" s="1130"/>
    </row>
    <row r="180" spans="1:31" ht="20" x14ac:dyDescent="0.2">
      <c r="A180" s="804"/>
      <c r="B180" s="930"/>
      <c r="C180" s="869"/>
      <c r="D180" s="870"/>
      <c r="E180" s="898"/>
      <c r="F180" s="898"/>
      <c r="G180" s="898"/>
      <c r="H180" s="906"/>
      <c r="I180" s="901"/>
      <c r="J180" s="901"/>
      <c r="K180" s="901"/>
      <c r="L180" s="901"/>
      <c r="M180" s="901"/>
      <c r="N180" s="901"/>
      <c r="O180" s="901"/>
      <c r="P180" s="901"/>
      <c r="Q180" s="901"/>
      <c r="R180" s="901"/>
      <c r="S180" s="901"/>
      <c r="T180" s="901"/>
      <c r="U180" s="931"/>
      <c r="V180" s="805"/>
      <c r="W180" s="636"/>
      <c r="X180" s="1130"/>
    </row>
    <row r="181" spans="1:31" ht="20" x14ac:dyDescent="0.2">
      <c r="A181" s="804"/>
      <c r="B181" s="930"/>
      <c r="C181" s="869"/>
      <c r="D181" s="870"/>
      <c r="E181" s="898"/>
      <c r="F181" s="898"/>
      <c r="G181" s="898"/>
      <c r="H181" s="906"/>
      <c r="I181" s="901"/>
      <c r="J181" s="901"/>
      <c r="K181" s="901"/>
      <c r="L181" s="901"/>
      <c r="M181" s="901"/>
      <c r="N181" s="901"/>
      <c r="O181" s="901"/>
      <c r="P181" s="901"/>
      <c r="Q181" s="901"/>
      <c r="R181" s="901"/>
      <c r="S181" s="901"/>
      <c r="T181" s="901"/>
      <c r="U181" s="931"/>
      <c r="V181" s="805"/>
      <c r="W181" s="636"/>
      <c r="X181" s="1130"/>
    </row>
    <row r="182" spans="1:31" ht="20" x14ac:dyDescent="0.2">
      <c r="A182" s="804"/>
      <c r="B182" s="930"/>
      <c r="C182" s="869"/>
      <c r="D182" s="870"/>
      <c r="E182" s="898"/>
      <c r="F182" s="898"/>
      <c r="G182" s="898"/>
      <c r="H182" s="906"/>
      <c r="I182" s="901"/>
      <c r="J182" s="901"/>
      <c r="K182" s="901"/>
      <c r="L182" s="901"/>
      <c r="M182" s="901"/>
      <c r="N182" s="901"/>
      <c r="O182" s="901"/>
      <c r="P182" s="901"/>
      <c r="Q182" s="901"/>
      <c r="R182" s="901"/>
      <c r="S182" s="901"/>
      <c r="T182" s="901"/>
      <c r="U182" s="931"/>
      <c r="V182" s="805"/>
      <c r="W182" s="636"/>
      <c r="X182" s="1130"/>
    </row>
    <row r="183" spans="1:31" ht="20" x14ac:dyDescent="0.2">
      <c r="A183" s="804"/>
      <c r="B183" s="930"/>
      <c r="C183" s="869"/>
      <c r="D183" s="870"/>
      <c r="E183" s="898"/>
      <c r="F183" s="898"/>
      <c r="G183" s="898"/>
      <c r="H183" s="906"/>
      <c r="I183" s="901"/>
      <c r="J183" s="901"/>
      <c r="K183" s="901"/>
      <c r="L183" s="901"/>
      <c r="M183" s="901"/>
      <c r="N183" s="901"/>
      <c r="O183" s="901"/>
      <c r="P183" s="901"/>
      <c r="Q183" s="901"/>
      <c r="R183" s="901"/>
      <c r="S183" s="901"/>
      <c r="T183" s="901"/>
      <c r="U183" s="931"/>
      <c r="V183" s="805"/>
      <c r="W183" s="636"/>
      <c r="X183" s="1130"/>
    </row>
    <row r="184" spans="1:31" ht="20" x14ac:dyDescent="0.2">
      <c r="A184" s="804"/>
      <c r="B184" s="930"/>
      <c r="C184" s="869"/>
      <c r="D184" s="870"/>
      <c r="E184" s="898"/>
      <c r="F184" s="898"/>
      <c r="G184" s="898"/>
      <c r="H184" s="906"/>
      <c r="I184" s="901"/>
      <c r="J184" s="901"/>
      <c r="K184" s="901"/>
      <c r="L184" s="901"/>
      <c r="M184" s="901"/>
      <c r="N184" s="901"/>
      <c r="O184" s="901"/>
      <c r="P184" s="901"/>
      <c r="Q184" s="901"/>
      <c r="R184" s="901"/>
      <c r="S184" s="901"/>
      <c r="T184" s="901"/>
      <c r="U184" s="931"/>
      <c r="V184" s="805"/>
      <c r="W184" s="636"/>
      <c r="X184" s="1130"/>
    </row>
    <row r="185" spans="1:31" ht="20" x14ac:dyDescent="0.2">
      <c r="A185" s="804"/>
      <c r="B185" s="930"/>
      <c r="C185" s="869"/>
      <c r="D185" s="870"/>
      <c r="E185" s="898"/>
      <c r="F185" s="898"/>
      <c r="G185" s="898"/>
      <c r="H185" s="906"/>
      <c r="I185" s="901"/>
      <c r="J185" s="901"/>
      <c r="K185" s="901"/>
      <c r="L185" s="901"/>
      <c r="M185" s="901"/>
      <c r="N185" s="901"/>
      <c r="O185" s="901"/>
      <c r="P185" s="901"/>
      <c r="Q185" s="901"/>
      <c r="R185" s="901"/>
      <c r="S185" s="901"/>
      <c r="T185" s="901"/>
      <c r="U185" s="931"/>
      <c r="V185" s="805"/>
      <c r="W185" s="636"/>
      <c r="X185" s="1130"/>
    </row>
    <row r="186" spans="1:31" ht="20.5" thickBot="1" x14ac:dyDescent="0.25">
      <c r="A186" s="804"/>
      <c r="B186" s="930"/>
      <c r="C186" s="869"/>
      <c r="D186" s="870"/>
      <c r="E186" s="898"/>
      <c r="F186" s="898"/>
      <c r="G186" s="898"/>
      <c r="H186" s="906"/>
      <c r="I186" s="901"/>
      <c r="J186" s="901"/>
      <c r="K186" s="901"/>
      <c r="L186" s="901"/>
      <c r="M186" s="901"/>
      <c r="N186" s="901"/>
      <c r="O186" s="901"/>
      <c r="P186" s="901"/>
      <c r="Q186" s="901"/>
      <c r="R186" s="901"/>
      <c r="S186" s="901"/>
      <c r="T186" s="901"/>
      <c r="U186" s="931"/>
      <c r="V186" s="805"/>
      <c r="W186" s="636"/>
      <c r="X186" s="1130" t="s">
        <v>688</v>
      </c>
      <c r="Y186" s="1166">
        <f>S5*E137*1000/1000000*20</f>
        <v>27308.265960937504</v>
      </c>
    </row>
    <row r="187" spans="1:31" ht="20" x14ac:dyDescent="0.2">
      <c r="A187" s="804"/>
      <c r="B187" s="858" t="s">
        <v>497</v>
      </c>
      <c r="C187" s="859" t="s">
        <v>308</v>
      </c>
      <c r="D187" s="859" t="s">
        <v>309</v>
      </c>
      <c r="E187" s="1305"/>
      <c r="F187" s="898"/>
      <c r="G187" s="898"/>
      <c r="H187" s="906"/>
      <c r="I187" s="901"/>
      <c r="J187" s="901"/>
      <c r="K187" s="901"/>
      <c r="L187" s="901"/>
      <c r="M187" s="901"/>
      <c r="N187" s="901"/>
      <c r="O187" s="901"/>
      <c r="P187" s="901"/>
      <c r="Q187" s="901"/>
      <c r="R187" s="901"/>
      <c r="S187" s="901"/>
      <c r="T187" s="901"/>
      <c r="U187" s="931"/>
      <c r="V187" s="805"/>
      <c r="W187" s="636"/>
      <c r="X187" s="1130"/>
      <c r="Y187" s="1166"/>
    </row>
    <row r="188" spans="1:31" ht="20" x14ac:dyDescent="0.2">
      <c r="A188" s="804"/>
      <c r="B188" s="890" t="s">
        <v>614</v>
      </c>
      <c r="C188" s="891"/>
      <c r="D188" s="891"/>
      <c r="E188" s="1305"/>
      <c r="F188" s="898"/>
      <c r="G188" s="898"/>
      <c r="H188" s="906"/>
      <c r="I188" s="901"/>
      <c r="J188" s="901"/>
      <c r="K188" s="901"/>
      <c r="L188" s="901"/>
      <c r="M188" s="901"/>
      <c r="N188" s="901"/>
      <c r="O188" s="901"/>
      <c r="P188" s="901"/>
      <c r="Q188" s="901"/>
      <c r="R188" s="901"/>
      <c r="S188" s="901"/>
      <c r="T188" s="901"/>
      <c r="U188" s="931"/>
      <c r="V188" s="805"/>
      <c r="W188" s="636"/>
      <c r="X188" s="1130" t="s">
        <v>689</v>
      </c>
      <c r="Y188" s="1166">
        <f>SUMPRODUCT(C5:C10,E130:E135)*C34/1000000*20</f>
        <v>4620</v>
      </c>
    </row>
    <row r="189" spans="1:31" ht="20" x14ac:dyDescent="0.2">
      <c r="A189" s="804"/>
      <c r="B189" s="892"/>
      <c r="C189" s="893">
        <f>地域経済性計算シート!AI544</f>
        <v>-284.50761396613444</v>
      </c>
      <c r="D189" s="893">
        <f>地域経済性計算シート!AJ544</f>
        <v>228.14872534163726</v>
      </c>
      <c r="E189" s="1305"/>
      <c r="F189" s="898"/>
      <c r="G189" s="898"/>
      <c r="H189" s="906"/>
      <c r="I189" s="901"/>
      <c r="J189" s="901"/>
      <c r="K189" s="901"/>
      <c r="L189" s="901"/>
      <c r="M189" s="901"/>
      <c r="N189" s="901"/>
      <c r="O189" s="901"/>
      <c r="P189" s="901"/>
      <c r="Q189" s="901"/>
      <c r="R189" s="901"/>
      <c r="S189" s="901"/>
      <c r="T189" s="901"/>
      <c r="U189" s="931"/>
      <c r="V189" s="805"/>
      <c r="W189" s="636"/>
      <c r="X189" s="1130" t="s">
        <v>687</v>
      </c>
      <c r="Y189" s="1166">
        <f>(C73-D73)*20</f>
        <v>456.29745068327566</v>
      </c>
    </row>
    <row r="190" spans="1:31" ht="21" x14ac:dyDescent="0.25">
      <c r="A190" s="804"/>
      <c r="B190" s="890" t="s">
        <v>615</v>
      </c>
      <c r="C190" s="891"/>
      <c r="D190" s="891"/>
      <c r="E190" s="1305"/>
      <c r="F190" s="898"/>
      <c r="G190" s="898"/>
      <c r="H190" s="817" t="s">
        <v>686</v>
      </c>
      <c r="I190" s="817"/>
      <c r="J190" s="818"/>
      <c r="K190" s="819"/>
      <c r="L190" s="818"/>
      <c r="M190" s="819"/>
      <c r="N190" s="820"/>
      <c r="O190" s="820"/>
      <c r="P190" s="820"/>
      <c r="Q190" s="820"/>
      <c r="R190" s="820"/>
      <c r="S190" s="820"/>
      <c r="T190" s="820"/>
      <c r="U190" s="932"/>
      <c r="V190" s="805"/>
      <c r="W190" s="636"/>
      <c r="X190" s="1167" t="s">
        <v>622</v>
      </c>
      <c r="Y190" s="1166">
        <f>D189</f>
        <v>228.14872534163726</v>
      </c>
      <c r="AA190" s="1154"/>
      <c r="AB190" s="1132"/>
      <c r="AC190" s="1132"/>
      <c r="AD190" s="1132"/>
      <c r="AE190" s="1132"/>
    </row>
    <row r="191" spans="1:31" ht="17.5" x14ac:dyDescent="0.2">
      <c r="A191" s="804"/>
      <c r="B191" s="894"/>
      <c r="C191" s="893">
        <f>地域経済性計算シート!AI531/1000000</f>
        <v>21.583838496194108</v>
      </c>
      <c r="D191" s="893">
        <f>地域経済性計算シート!AJ531/1000000</f>
        <v>21.583838496194108</v>
      </c>
      <c r="E191" s="1305"/>
      <c r="F191" s="898"/>
      <c r="G191" s="898"/>
      <c r="H191" s="825"/>
      <c r="I191" s="825"/>
      <c r="J191" s="825"/>
      <c r="K191" s="825"/>
      <c r="L191" s="825"/>
      <c r="M191" s="825"/>
      <c r="N191" s="825"/>
      <c r="O191" s="825"/>
      <c r="P191" s="820"/>
      <c r="Q191" s="820"/>
      <c r="R191" s="820"/>
      <c r="S191" s="820"/>
      <c r="T191" s="820"/>
      <c r="U191" s="932"/>
      <c r="V191" s="805"/>
      <c r="W191" s="636"/>
      <c r="X191" s="1154" t="s">
        <v>621</v>
      </c>
      <c r="Y191" s="1166">
        <f>D191</f>
        <v>21.583838496194108</v>
      </c>
      <c r="AA191" s="1154"/>
      <c r="AB191" s="1132"/>
      <c r="AC191" s="1132"/>
      <c r="AD191" s="1132"/>
      <c r="AE191" s="1132"/>
    </row>
    <row r="192" spans="1:31" ht="17.5" x14ac:dyDescent="0.2">
      <c r="A192" s="804"/>
      <c r="B192" s="890" t="s">
        <v>616</v>
      </c>
      <c r="C192" s="891"/>
      <c r="D192" s="891"/>
      <c r="E192" s="1305"/>
      <c r="F192" s="898"/>
      <c r="G192" s="898"/>
      <c r="H192" s="825"/>
      <c r="I192" s="825"/>
      <c r="J192" s="825"/>
      <c r="K192" s="825"/>
      <c r="L192" s="825"/>
      <c r="M192" s="825"/>
      <c r="N192" s="825"/>
      <c r="O192" s="825"/>
      <c r="P192" s="820"/>
      <c r="Q192" s="820"/>
      <c r="R192" s="822"/>
      <c r="S192" s="820"/>
      <c r="T192" s="820"/>
      <c r="U192" s="933"/>
      <c r="V192" s="805"/>
      <c r="W192" s="636"/>
      <c r="X192" s="1154" t="s">
        <v>623</v>
      </c>
      <c r="Y192" s="1166">
        <f>D193</f>
        <v>67.754960074248487</v>
      </c>
      <c r="AA192" s="1154"/>
      <c r="AB192" s="1132"/>
      <c r="AC192" s="1132"/>
      <c r="AD192" s="1132"/>
      <c r="AE192" s="1132"/>
    </row>
    <row r="193" spans="1:33" ht="19" x14ac:dyDescent="0.2">
      <c r="A193" s="804"/>
      <c r="B193" s="894" t="s">
        <v>483</v>
      </c>
      <c r="C193" s="893">
        <f>地域経済性計算シート!AI532/1000000</f>
        <v>33.877480037124265</v>
      </c>
      <c r="D193" s="893">
        <f>地域経済性計算シート!AJ532/1000000</f>
        <v>67.754960074248487</v>
      </c>
      <c r="E193" s="1305"/>
      <c r="F193" s="898"/>
      <c r="G193" s="898"/>
      <c r="H193" s="825"/>
      <c r="I193" s="825"/>
      <c r="J193" s="825"/>
      <c r="K193" s="825"/>
      <c r="L193" s="825"/>
      <c r="M193" s="825"/>
      <c r="N193" s="825"/>
      <c r="O193" s="825"/>
      <c r="P193" s="820"/>
      <c r="Q193" s="820"/>
      <c r="R193" s="822"/>
      <c r="S193" s="1338"/>
      <c r="T193" s="1338"/>
      <c r="U193" s="933"/>
      <c r="V193" s="805"/>
      <c r="W193" s="636"/>
      <c r="X193" s="1154" t="s">
        <v>624</v>
      </c>
      <c r="Y193" s="1166">
        <f>D197</f>
        <v>667.22111191968622</v>
      </c>
      <c r="AA193" s="1154"/>
      <c r="AB193" s="1132"/>
      <c r="AC193" s="1132"/>
      <c r="AD193" s="1132"/>
      <c r="AE193" s="1132"/>
    </row>
    <row r="194" spans="1:33" ht="19" x14ac:dyDescent="0.2">
      <c r="A194" s="804"/>
      <c r="B194" s="890" t="s">
        <v>678</v>
      </c>
      <c r="C194" s="891"/>
      <c r="D194" s="891"/>
      <c r="E194" s="1305"/>
      <c r="F194" s="898"/>
      <c r="G194" s="898"/>
      <c r="H194" s="825"/>
      <c r="I194" s="825"/>
      <c r="J194" s="825"/>
      <c r="K194" s="825"/>
      <c r="L194" s="825"/>
      <c r="M194" s="825"/>
      <c r="N194" s="825"/>
      <c r="O194" s="825"/>
      <c r="P194" s="820"/>
      <c r="Q194" s="820"/>
      <c r="R194" s="822"/>
      <c r="S194" s="1338"/>
      <c r="T194" s="1338"/>
      <c r="U194" s="934"/>
      <c r="V194" s="805"/>
      <c r="W194" s="636"/>
      <c r="X194" s="1154" t="s">
        <v>625</v>
      </c>
      <c r="Y194" s="1166">
        <f>D201</f>
        <v>423.93318103178149</v>
      </c>
      <c r="AA194" s="1154"/>
      <c r="AB194" s="1132"/>
      <c r="AC194" s="1132"/>
      <c r="AD194" s="1132"/>
      <c r="AE194" s="1132"/>
    </row>
    <row r="195" spans="1:33" ht="17.5" x14ac:dyDescent="0.2">
      <c r="A195" s="804"/>
      <c r="B195" s="895" t="s">
        <v>617</v>
      </c>
      <c r="C195" s="893">
        <f>地域経済性計算シート!AI527/1000000</f>
        <v>252.48883830533566</v>
      </c>
      <c r="D195" s="893">
        <f>地域経済性計算シート!AJ527/1000000</f>
        <v>504.97767661067132</v>
      </c>
      <c r="E195" s="1305"/>
      <c r="F195" s="898"/>
      <c r="G195" s="898"/>
      <c r="H195" s="825"/>
      <c r="I195" s="825"/>
      <c r="J195" s="825"/>
      <c r="K195" s="825"/>
      <c r="L195" s="825"/>
      <c r="M195" s="935"/>
      <c r="N195" s="935"/>
      <c r="O195" s="820"/>
      <c r="P195" s="820"/>
      <c r="Q195" s="820"/>
      <c r="R195" s="822"/>
      <c r="S195" s="820"/>
      <c r="T195" s="820"/>
      <c r="U195" s="934"/>
      <c r="V195" s="805"/>
      <c r="W195" s="636"/>
      <c r="X195" s="1154" t="s">
        <v>683</v>
      </c>
      <c r="Y195" s="1166">
        <f>D203</f>
        <v>26.245325127940401</v>
      </c>
      <c r="AA195" s="1154"/>
      <c r="AB195" s="1132"/>
      <c r="AC195" s="1132"/>
      <c r="AD195" s="1132"/>
      <c r="AE195" s="1132"/>
    </row>
    <row r="196" spans="1:33" ht="17.5" x14ac:dyDescent="0.2">
      <c r="A196" s="804"/>
      <c r="B196" s="895" t="s">
        <v>618</v>
      </c>
      <c r="C196" s="893">
        <f>地域経済性計算シート!AI529/1000000</f>
        <v>108.46006291885605</v>
      </c>
      <c r="D196" s="893">
        <f>(地域経済性計算シート!AJ529)/1000000</f>
        <v>162.2434353090149</v>
      </c>
      <c r="E196" s="1305"/>
      <c r="F196" s="898"/>
      <c r="G196" s="898"/>
      <c r="H196" s="825"/>
      <c r="I196" s="825"/>
      <c r="J196" s="825"/>
      <c r="K196" s="825"/>
      <c r="L196" s="825"/>
      <c r="M196" s="935"/>
      <c r="N196" s="935"/>
      <c r="O196" s="825"/>
      <c r="P196" s="825"/>
      <c r="Q196" s="825"/>
      <c r="R196" s="826"/>
      <c r="S196" s="1339"/>
      <c r="T196" s="1339"/>
      <c r="U196" s="936"/>
      <c r="V196" s="805"/>
      <c r="W196" s="636"/>
      <c r="X196" s="1167" t="s">
        <v>702</v>
      </c>
      <c r="Y196" s="1166">
        <f>D205</f>
        <v>0</v>
      </c>
      <c r="AA196" s="1154"/>
      <c r="AB196" s="1132"/>
      <c r="AC196" s="1132"/>
      <c r="AD196" s="1132"/>
      <c r="AE196" s="1132"/>
    </row>
    <row r="197" spans="1:33" ht="39" x14ac:dyDescent="0.2">
      <c r="A197" s="804"/>
      <c r="B197" s="895" t="s">
        <v>69</v>
      </c>
      <c r="C197" s="893">
        <f>C195+C196</f>
        <v>360.94890122419173</v>
      </c>
      <c r="D197" s="893">
        <f>D195+D196</f>
        <v>667.22111191968622</v>
      </c>
      <c r="E197" s="1305"/>
      <c r="F197" s="898"/>
      <c r="G197" s="898"/>
      <c r="H197" s="825"/>
      <c r="I197" s="825"/>
      <c r="J197" s="825"/>
      <c r="K197" s="825"/>
      <c r="L197" s="825"/>
      <c r="M197" s="935"/>
      <c r="N197" s="935"/>
      <c r="O197" s="825"/>
      <c r="P197" s="825"/>
      <c r="Q197" s="825"/>
      <c r="R197" s="826"/>
      <c r="S197" s="1339"/>
      <c r="T197" s="1339"/>
      <c r="U197" s="936"/>
      <c r="V197" s="805"/>
      <c r="W197" s="636"/>
      <c r="X197" s="1168" t="s">
        <v>684</v>
      </c>
      <c r="Y197" s="1166">
        <f>D209</f>
        <v>0</v>
      </c>
      <c r="AA197" s="1154"/>
      <c r="AB197" s="1132"/>
      <c r="AC197" s="1132"/>
      <c r="AD197" s="1132"/>
      <c r="AE197" s="1132"/>
    </row>
    <row r="198" spans="1:33" ht="17.5" x14ac:dyDescent="0.2">
      <c r="A198" s="804"/>
      <c r="B198" s="890" t="s">
        <v>677</v>
      </c>
      <c r="C198" s="891"/>
      <c r="D198" s="891"/>
      <c r="E198" s="1305"/>
      <c r="F198" s="898"/>
      <c r="G198" s="898"/>
      <c r="H198" s="825"/>
      <c r="I198" s="825"/>
      <c r="J198" s="825"/>
      <c r="K198" s="825"/>
      <c r="L198" s="825"/>
      <c r="M198" s="935"/>
      <c r="N198" s="935"/>
      <c r="O198" s="825"/>
      <c r="P198" s="825"/>
      <c r="Q198" s="825"/>
      <c r="R198" s="827"/>
      <c r="S198" s="825"/>
      <c r="T198" s="825"/>
      <c r="U198" s="936"/>
      <c r="V198" s="805"/>
      <c r="W198" s="636"/>
      <c r="AA198" s="1154"/>
      <c r="AB198" s="1132"/>
      <c r="AC198" s="1132"/>
      <c r="AD198" s="1132"/>
      <c r="AE198" s="1132"/>
    </row>
    <row r="199" spans="1:33" ht="19" x14ac:dyDescent="0.2">
      <c r="A199" s="804"/>
      <c r="B199" s="894" t="s">
        <v>272</v>
      </c>
      <c r="C199" s="893">
        <f>地域経済性計算シート!AI533/1000000</f>
        <v>67.880433104966343</v>
      </c>
      <c r="D199" s="893">
        <f>地域経済性計算シート!AJ533/1000000</f>
        <v>134.70845154669277</v>
      </c>
      <c r="E199" s="1305"/>
      <c r="F199" s="898"/>
      <c r="G199" s="898"/>
      <c r="H199" s="825"/>
      <c r="I199" s="825"/>
      <c r="J199" s="825"/>
      <c r="K199" s="825"/>
      <c r="L199" s="825"/>
      <c r="M199" s="935"/>
      <c r="N199" s="935"/>
      <c r="O199" s="825"/>
      <c r="P199" s="825"/>
      <c r="Q199" s="825"/>
      <c r="R199" s="826"/>
      <c r="S199" s="1340"/>
      <c r="T199" s="1340"/>
      <c r="U199" s="937"/>
      <c r="V199" s="805"/>
      <c r="W199" s="636"/>
      <c r="AA199" s="1154"/>
      <c r="AB199" s="1132"/>
      <c r="AC199" s="1132"/>
      <c r="AD199" s="1132"/>
      <c r="AE199" s="1132"/>
    </row>
    <row r="200" spans="1:33" ht="17.5" x14ac:dyDescent="0.2">
      <c r="A200" s="804"/>
      <c r="B200" s="894" t="s">
        <v>264</v>
      </c>
      <c r="C200" s="893">
        <f>地域経済性計算シート!AI534/1000000</f>
        <v>200.54640936254242</v>
      </c>
      <c r="D200" s="893">
        <f>地域経済性計算シート!AJ534/1000000</f>
        <v>289.22472948508874</v>
      </c>
      <c r="E200" s="1305"/>
      <c r="F200" s="898"/>
      <c r="G200" s="898"/>
      <c r="H200" s="825"/>
      <c r="I200" s="825"/>
      <c r="J200" s="825"/>
      <c r="K200" s="825"/>
      <c r="L200" s="825"/>
      <c r="M200" s="935"/>
      <c r="N200" s="935"/>
      <c r="O200" s="820"/>
      <c r="P200" s="820"/>
      <c r="Q200" s="820"/>
      <c r="R200" s="827"/>
      <c r="S200" s="825"/>
      <c r="T200" s="825"/>
      <c r="U200" s="936"/>
      <c r="V200" s="805"/>
      <c r="W200" s="636"/>
      <c r="AA200" s="1154"/>
      <c r="AB200" s="1132"/>
      <c r="AC200" s="1132"/>
      <c r="AD200" s="1132"/>
      <c r="AE200" s="1132"/>
    </row>
    <row r="201" spans="1:33" ht="17.5" x14ac:dyDescent="0.2">
      <c r="A201" s="804"/>
      <c r="B201" s="894" t="s">
        <v>685</v>
      </c>
      <c r="C201" s="893">
        <f>C200+C199</f>
        <v>268.42684246750878</v>
      </c>
      <c r="D201" s="893">
        <f t="shared" ref="D201" si="9">D200+D199</f>
        <v>423.93318103178149</v>
      </c>
      <c r="E201" s="1305"/>
      <c r="F201" s="898"/>
      <c r="G201" s="898"/>
      <c r="H201" s="825"/>
      <c r="I201" s="825"/>
      <c r="J201" s="825"/>
      <c r="K201" s="825"/>
      <c r="L201" s="825"/>
      <c r="M201" s="935"/>
      <c r="N201" s="935"/>
      <c r="O201" s="820"/>
      <c r="P201" s="820"/>
      <c r="Q201" s="820"/>
      <c r="R201" s="827"/>
      <c r="S201" s="825"/>
      <c r="T201" s="825"/>
      <c r="U201" s="936"/>
      <c r="V201" s="805"/>
      <c r="W201" s="636"/>
      <c r="AA201" s="1154"/>
      <c r="AB201" s="1132"/>
      <c r="AC201" s="1132"/>
      <c r="AD201" s="1132"/>
      <c r="AE201" s="1132"/>
    </row>
    <row r="202" spans="1:33" ht="17.5" x14ac:dyDescent="0.2">
      <c r="A202" s="804"/>
      <c r="B202" s="890" t="s">
        <v>676</v>
      </c>
      <c r="C202" s="891"/>
      <c r="D202" s="891"/>
      <c r="E202" s="1305"/>
      <c r="F202" s="898"/>
      <c r="G202" s="898"/>
      <c r="H202" s="825"/>
      <c r="I202" s="825"/>
      <c r="J202" s="825"/>
      <c r="K202" s="825"/>
      <c r="L202" s="825"/>
      <c r="M202" s="935"/>
      <c r="N202" s="935"/>
      <c r="O202" s="825"/>
      <c r="P202" s="825"/>
      <c r="Q202" s="825"/>
      <c r="R202" s="826"/>
      <c r="S202" s="1341"/>
      <c r="T202" s="1341"/>
      <c r="U202" s="936"/>
      <c r="V202" s="805"/>
      <c r="W202" s="636"/>
      <c r="AA202" s="1154"/>
      <c r="AB202" s="1132"/>
      <c r="AC202" s="1132"/>
      <c r="AD202" s="1132"/>
      <c r="AE202" s="1132"/>
    </row>
    <row r="203" spans="1:33" ht="17.5" x14ac:dyDescent="0.2">
      <c r="A203" s="804"/>
      <c r="B203" s="914"/>
      <c r="C203" s="915">
        <f>地域経済性計算シート!AI549</f>
        <v>19.371549499194106</v>
      </c>
      <c r="D203" s="915">
        <f>地域経済性計算シート!AJ549</f>
        <v>26.245325127940401</v>
      </c>
      <c r="E203" s="1305"/>
      <c r="F203" s="898"/>
      <c r="G203" s="898"/>
      <c r="H203" s="825"/>
      <c r="I203" s="825"/>
      <c r="J203" s="825"/>
      <c r="K203" s="825"/>
      <c r="L203" s="825"/>
      <c r="M203" s="935"/>
      <c r="N203" s="935"/>
      <c r="O203" s="825"/>
      <c r="P203" s="825"/>
      <c r="Q203" s="825"/>
      <c r="R203" s="826"/>
      <c r="S203" s="1341"/>
      <c r="T203" s="1341"/>
      <c r="U203" s="936"/>
      <c r="V203" s="805"/>
      <c r="W203" s="636"/>
      <c r="AA203" s="1154"/>
      <c r="AB203" s="1132"/>
      <c r="AC203" s="1132"/>
      <c r="AD203" s="1132"/>
      <c r="AE203" s="1132"/>
    </row>
    <row r="204" spans="1:33" ht="17.5" x14ac:dyDescent="0.2">
      <c r="A204" s="804"/>
      <c r="B204" s="890" t="s">
        <v>674</v>
      </c>
      <c r="C204" s="891"/>
      <c r="D204" s="891"/>
      <c r="E204" s="1305"/>
      <c r="F204" s="898"/>
      <c r="G204" s="898"/>
      <c r="H204" s="825"/>
      <c r="I204" s="825"/>
      <c r="J204" s="825"/>
      <c r="K204" s="825"/>
      <c r="L204" s="825"/>
      <c r="M204" s="935"/>
      <c r="N204" s="935"/>
      <c r="O204" s="825"/>
      <c r="P204" s="825"/>
      <c r="Q204" s="825"/>
      <c r="R204" s="826"/>
      <c r="S204" s="1341"/>
      <c r="T204" s="1341"/>
      <c r="U204" s="937"/>
      <c r="V204" s="805"/>
      <c r="W204" s="636"/>
      <c r="AA204" s="1154"/>
      <c r="AB204" s="1132"/>
      <c r="AC204" s="1132"/>
      <c r="AD204" s="1132"/>
      <c r="AE204" s="1132"/>
    </row>
    <row r="205" spans="1:33" ht="17.5" x14ac:dyDescent="0.2">
      <c r="A205" s="804"/>
      <c r="B205" s="914"/>
      <c r="C205" s="915">
        <f>SUMPRODUCT($X$130:$X$135,$C$5:$C$10)*$C$34*10/1000000</f>
        <v>0</v>
      </c>
      <c r="D205" s="915">
        <f>SUMPRODUCT($X$130:$X$135,$C$5:$C$10)*$C$34*20/1000000</f>
        <v>0</v>
      </c>
      <c r="E205" s="1305"/>
      <c r="F205" s="898"/>
      <c r="G205" s="898"/>
      <c r="H205" s="825"/>
      <c r="I205" s="825"/>
      <c r="J205" s="825"/>
      <c r="K205" s="825"/>
      <c r="L205" s="825"/>
      <c r="M205" s="935"/>
      <c r="N205" s="935"/>
      <c r="O205" s="825"/>
      <c r="P205" s="825"/>
      <c r="Q205" s="825"/>
      <c r="R205" s="826"/>
      <c r="S205" s="825"/>
      <c r="T205" s="825"/>
      <c r="U205" s="936"/>
      <c r="V205" s="805"/>
      <c r="W205" s="636"/>
      <c r="AA205" s="1154"/>
      <c r="AB205" s="1132"/>
      <c r="AC205" s="1132"/>
      <c r="AD205" s="1132"/>
      <c r="AE205" s="1132"/>
      <c r="AG205" s="1132" t="s">
        <v>1139</v>
      </c>
    </row>
    <row r="206" spans="1:33" ht="17.5" x14ac:dyDescent="0.2">
      <c r="A206" s="804"/>
      <c r="B206" s="916" t="s">
        <v>675</v>
      </c>
      <c r="C206" s="917"/>
      <c r="D206" s="917"/>
      <c r="E206" s="1305"/>
      <c r="F206" s="898"/>
      <c r="G206" s="898"/>
      <c r="H206" s="825"/>
      <c r="I206" s="825"/>
      <c r="J206" s="825"/>
      <c r="K206" s="825"/>
      <c r="L206" s="825"/>
      <c r="M206" s="935"/>
      <c r="N206" s="935"/>
      <c r="O206" s="825"/>
      <c r="P206" s="825"/>
      <c r="Q206" s="825"/>
      <c r="R206" s="826"/>
      <c r="S206" s="825"/>
      <c r="T206" s="825"/>
      <c r="U206" s="936"/>
      <c r="V206" s="805"/>
      <c r="W206" s="636"/>
      <c r="AA206" s="1154"/>
      <c r="AB206" s="1132"/>
      <c r="AC206" s="1132"/>
      <c r="AD206" s="1132"/>
      <c r="AE206" s="1132"/>
    </row>
    <row r="207" spans="1:33" ht="17.5" x14ac:dyDescent="0.2">
      <c r="A207" s="804"/>
      <c r="B207" s="918" t="s">
        <v>310</v>
      </c>
      <c r="C207" s="915">
        <f>($E$137-$C$137)*計算シート!$E$18*10/1000000</f>
        <v>0</v>
      </c>
      <c r="D207" s="915">
        <f>($E$137-$C$137)*計算シート!$E$18*20/1000000</f>
        <v>0</v>
      </c>
      <c r="E207" s="1306"/>
      <c r="F207" s="924"/>
      <c r="G207" s="924"/>
      <c r="H207" s="825"/>
      <c r="I207" s="825"/>
      <c r="J207" s="825"/>
      <c r="K207" s="825"/>
      <c r="L207" s="825"/>
      <c r="M207" s="935"/>
      <c r="N207" s="935"/>
      <c r="O207" s="825"/>
      <c r="P207" s="825"/>
      <c r="Q207" s="825"/>
      <c r="R207" s="826"/>
      <c r="S207" s="825"/>
      <c r="T207" s="825"/>
      <c r="U207" s="936"/>
      <c r="V207" s="805"/>
      <c r="W207" s="636"/>
      <c r="AA207" s="1154"/>
      <c r="AB207" s="1132"/>
      <c r="AC207" s="1132"/>
      <c r="AD207" s="1132"/>
      <c r="AE207" s="1132"/>
    </row>
    <row r="208" spans="1:33" ht="20" x14ac:dyDescent="0.2">
      <c r="A208" s="804"/>
      <c r="B208" s="918" t="s">
        <v>311</v>
      </c>
      <c r="C208" s="915">
        <f>($E137-$C137)*計算シート!$E23*10/1000000</f>
        <v>0</v>
      </c>
      <c r="D208" s="915">
        <f>($E137-$C137)*計算シート!$E23*20/1000000</f>
        <v>0</v>
      </c>
      <c r="E208" s="1305"/>
      <c r="F208" s="898"/>
      <c r="G208" s="898"/>
      <c r="H208" s="825"/>
      <c r="I208" s="825"/>
      <c r="J208" s="825"/>
      <c r="K208" s="825"/>
      <c r="L208" s="825"/>
      <c r="M208" s="935"/>
      <c r="N208" s="935"/>
      <c r="O208" s="825"/>
      <c r="P208" s="825"/>
      <c r="Q208" s="825"/>
      <c r="R208" s="825"/>
      <c r="S208" s="1337"/>
      <c r="T208" s="1337"/>
      <c r="U208" s="937"/>
      <c r="V208" s="805"/>
      <c r="W208" s="636"/>
      <c r="AA208" s="1154"/>
      <c r="AB208" s="1132"/>
      <c r="AC208" s="1132"/>
      <c r="AD208" s="1132"/>
      <c r="AE208" s="1132"/>
    </row>
    <row r="209" spans="1:24" ht="18" thickBot="1" x14ac:dyDescent="0.25">
      <c r="A209" s="804"/>
      <c r="B209" s="896" t="s">
        <v>69</v>
      </c>
      <c r="C209" s="897">
        <f>C207+C208</f>
        <v>0</v>
      </c>
      <c r="D209" s="897">
        <f>D207+D208</f>
        <v>0</v>
      </c>
      <c r="E209" s="1307"/>
      <c r="F209" s="938"/>
      <c r="G209" s="938"/>
      <c r="H209" s="939"/>
      <c r="I209" s="939"/>
      <c r="J209" s="939"/>
      <c r="K209" s="939"/>
      <c r="L209" s="939"/>
      <c r="M209" s="940"/>
      <c r="N209" s="940"/>
      <c r="O209" s="939"/>
      <c r="P209" s="939"/>
      <c r="Q209" s="939"/>
      <c r="R209" s="939"/>
      <c r="S209" s="939"/>
      <c r="T209" s="939"/>
      <c r="U209" s="941"/>
      <c r="V209" s="805"/>
      <c r="W209" s="636"/>
      <c r="X209" s="1130"/>
    </row>
    <row r="210" spans="1:24" ht="20" x14ac:dyDescent="0.2">
      <c r="A210" s="804"/>
      <c r="B210" s="923"/>
      <c r="C210" s="923"/>
      <c r="D210" s="923"/>
      <c r="E210" s="923"/>
      <c r="F210" s="868"/>
      <c r="G210" s="868"/>
      <c r="H210" s="805"/>
      <c r="I210" s="813"/>
      <c r="J210" s="813"/>
      <c r="K210" s="813"/>
      <c r="L210" s="813"/>
      <c r="M210" s="814"/>
      <c r="N210" s="814"/>
      <c r="O210" s="814"/>
      <c r="P210" s="813"/>
      <c r="Q210" s="813"/>
      <c r="R210" s="813"/>
      <c r="S210" s="813"/>
      <c r="T210" s="813"/>
      <c r="U210" s="813"/>
      <c r="V210" s="805"/>
      <c r="W210" s="636"/>
      <c r="X210" s="1130"/>
    </row>
    <row r="211" spans="1:24" ht="21" x14ac:dyDescent="0.2">
      <c r="A211" s="804"/>
      <c r="B211" s="802" t="s">
        <v>945</v>
      </c>
      <c r="C211" s="923"/>
      <c r="D211" s="923"/>
      <c r="E211" s="923"/>
      <c r="F211" s="868"/>
      <c r="G211" s="868"/>
      <c r="H211" s="805"/>
      <c r="I211" s="813"/>
      <c r="J211" s="813"/>
      <c r="K211" s="813"/>
      <c r="L211" s="813"/>
      <c r="M211" s="814"/>
      <c r="N211" s="814"/>
      <c r="O211" s="814"/>
      <c r="P211" s="813"/>
      <c r="Q211" s="813"/>
      <c r="R211" s="813"/>
      <c r="S211" s="813"/>
      <c r="T211" s="813"/>
      <c r="U211" s="813"/>
      <c r="V211" s="805"/>
      <c r="W211" s="636"/>
      <c r="X211" s="1130"/>
    </row>
    <row r="212" spans="1:24" ht="20" x14ac:dyDescent="0.2">
      <c r="A212" s="804"/>
      <c r="B212" s="923"/>
      <c r="C212" s="923"/>
      <c r="D212" s="923"/>
      <c r="E212" s="923"/>
      <c r="F212" s="868"/>
      <c r="G212" s="868"/>
      <c r="H212" s="805"/>
      <c r="I212" s="813"/>
      <c r="J212" s="849" t="s">
        <v>705</v>
      </c>
      <c r="K212" s="850"/>
      <c r="L212" s="850"/>
      <c r="M212" s="850"/>
      <c r="N212" s="850"/>
      <c r="O212" s="850"/>
      <c r="P212" s="850"/>
      <c r="Q212" s="850"/>
      <c r="R212" s="850"/>
      <c r="S212" s="850"/>
      <c r="T212" s="850"/>
      <c r="U212" s="851"/>
      <c r="V212" s="805"/>
    </row>
    <row r="213" spans="1:24" ht="20" x14ac:dyDescent="0.2">
      <c r="A213" s="804"/>
      <c r="B213" s="816"/>
      <c r="C213" s="867"/>
      <c r="D213" s="810"/>
      <c r="E213" s="868"/>
      <c r="F213" s="868"/>
      <c r="G213" s="868"/>
      <c r="H213" s="805"/>
      <c r="I213" s="813"/>
      <c r="J213" s="852" t="s">
        <v>987</v>
      </c>
      <c r="K213" s="848"/>
      <c r="L213" s="848"/>
      <c r="M213" s="848"/>
      <c r="N213" s="848"/>
      <c r="O213" s="848"/>
      <c r="P213" s="848"/>
      <c r="Q213" s="848"/>
      <c r="R213" s="848"/>
      <c r="S213" s="848"/>
      <c r="T213" s="848"/>
      <c r="U213" s="853"/>
      <c r="V213" s="805"/>
    </row>
    <row r="214" spans="1:24" ht="20" x14ac:dyDescent="0.2">
      <c r="A214" s="804"/>
      <c r="B214" s="816"/>
      <c r="C214" s="867"/>
      <c r="D214" s="810"/>
      <c r="E214" s="868"/>
      <c r="F214" s="868"/>
      <c r="G214" s="868"/>
      <c r="H214" s="805"/>
      <c r="I214" s="813"/>
      <c r="J214" s="1038" t="s">
        <v>988</v>
      </c>
      <c r="K214" s="1233"/>
      <c r="L214" s="1233"/>
      <c r="M214" s="1233"/>
      <c r="N214" s="1233"/>
      <c r="O214" s="1233"/>
      <c r="P214" s="1233"/>
      <c r="Q214" s="1233"/>
      <c r="R214" s="1233"/>
      <c r="S214" s="1233"/>
      <c r="T214" s="1233"/>
      <c r="U214" s="1234"/>
      <c r="V214" s="805"/>
    </row>
    <row r="215" spans="1:24" ht="20" x14ac:dyDescent="0.2">
      <c r="A215" s="804"/>
      <c r="B215" s="816"/>
      <c r="C215" s="867"/>
      <c r="D215" s="810"/>
      <c r="E215" s="868"/>
      <c r="F215" s="868"/>
      <c r="G215" s="868"/>
      <c r="H215" s="805"/>
      <c r="I215" s="813"/>
      <c r="J215" s="852" t="s">
        <v>989</v>
      </c>
      <c r="K215" s="848"/>
      <c r="L215" s="848"/>
      <c r="M215" s="848"/>
      <c r="N215" s="848"/>
      <c r="O215" s="848"/>
      <c r="P215" s="848"/>
      <c r="Q215" s="848"/>
      <c r="R215" s="848"/>
      <c r="S215" s="848"/>
      <c r="T215" s="848"/>
      <c r="U215" s="853"/>
      <c r="V215" s="805"/>
    </row>
    <row r="216" spans="1:24" ht="20" x14ac:dyDescent="0.2">
      <c r="A216" s="804"/>
      <c r="B216" s="816"/>
      <c r="C216" s="867"/>
      <c r="D216" s="810"/>
      <c r="E216" s="868"/>
      <c r="F216" s="868"/>
      <c r="G216" s="868"/>
      <c r="H216" s="805"/>
      <c r="I216" s="813"/>
      <c r="J216" s="852" t="s">
        <v>990</v>
      </c>
      <c r="K216" s="1233"/>
      <c r="L216" s="1233"/>
      <c r="M216" s="1233"/>
      <c r="N216" s="1233"/>
      <c r="O216" s="1233"/>
      <c r="P216" s="1233"/>
      <c r="Q216" s="1233"/>
      <c r="R216" s="1233"/>
      <c r="S216" s="1233"/>
      <c r="T216" s="1233"/>
      <c r="U216" s="1234"/>
      <c r="V216" s="805"/>
    </row>
    <row r="217" spans="1:24" ht="20" x14ac:dyDescent="0.2">
      <c r="A217" s="804"/>
      <c r="B217" s="816"/>
      <c r="C217" s="867"/>
      <c r="D217" s="810"/>
      <c r="E217" s="868"/>
      <c r="F217" s="868"/>
      <c r="G217" s="868"/>
      <c r="H217" s="805"/>
      <c r="I217" s="813"/>
      <c r="J217" s="1231" t="s">
        <v>1128</v>
      </c>
      <c r="K217" s="848"/>
      <c r="L217" s="848"/>
      <c r="M217" s="848"/>
      <c r="N217" s="848"/>
      <c r="O217" s="848"/>
      <c r="P217" s="848"/>
      <c r="Q217" s="848"/>
      <c r="R217" s="848"/>
      <c r="S217" s="848"/>
      <c r="T217" s="848"/>
      <c r="U217" s="853"/>
      <c r="V217" s="805"/>
    </row>
    <row r="218" spans="1:24" ht="20" x14ac:dyDescent="0.2">
      <c r="A218" s="804"/>
      <c r="B218" s="816"/>
      <c r="C218" s="867"/>
      <c r="D218" s="810"/>
      <c r="E218" s="868"/>
      <c r="F218" s="868"/>
      <c r="G218" s="868"/>
      <c r="H218" s="805"/>
      <c r="I218" s="813"/>
      <c r="J218" s="852" t="s">
        <v>991</v>
      </c>
      <c r="K218" s="848"/>
      <c r="L218" s="848"/>
      <c r="M218" s="848"/>
      <c r="N218" s="848"/>
      <c r="O218" s="848"/>
      <c r="P218" s="848"/>
      <c r="Q218" s="848"/>
      <c r="R218" s="848"/>
      <c r="S218" s="848"/>
      <c r="T218" s="848"/>
      <c r="U218" s="853"/>
      <c r="V218" s="805"/>
    </row>
    <row r="219" spans="1:24" ht="20" x14ac:dyDescent="0.2">
      <c r="A219" s="804"/>
      <c r="B219" s="816"/>
      <c r="C219" s="867"/>
      <c r="D219" s="810"/>
      <c r="E219" s="868"/>
      <c r="F219" s="868"/>
      <c r="G219" s="868"/>
      <c r="H219" s="805"/>
      <c r="I219" s="813"/>
      <c r="J219" s="852" t="s">
        <v>992</v>
      </c>
      <c r="K219" s="848"/>
      <c r="L219" s="848"/>
      <c r="M219" s="848"/>
      <c r="N219" s="848"/>
      <c r="O219" s="848"/>
      <c r="P219" s="848"/>
      <c r="Q219" s="848"/>
      <c r="R219" s="848"/>
      <c r="S219" s="848"/>
      <c r="T219" s="848"/>
      <c r="U219" s="853"/>
      <c r="V219" s="805"/>
    </row>
    <row r="220" spans="1:24" ht="20" x14ac:dyDescent="0.2">
      <c r="A220" s="804"/>
      <c r="B220" s="816"/>
      <c r="C220" s="867"/>
      <c r="D220" s="810"/>
      <c r="E220" s="868"/>
      <c r="F220" s="868"/>
      <c r="G220" s="868"/>
      <c r="H220" s="805"/>
      <c r="I220" s="813"/>
      <c r="J220" s="1231" t="s">
        <v>1129</v>
      </c>
      <c r="K220" s="848"/>
      <c r="L220" s="848"/>
      <c r="M220" s="848"/>
      <c r="N220" s="848"/>
      <c r="O220" s="848"/>
      <c r="P220" s="848"/>
      <c r="Q220" s="848"/>
      <c r="R220" s="848"/>
      <c r="S220" s="848"/>
      <c r="T220" s="848"/>
      <c r="U220" s="853"/>
      <c r="V220" s="805"/>
    </row>
    <row r="221" spans="1:24" ht="20" x14ac:dyDescent="0.2">
      <c r="A221" s="804"/>
      <c r="B221" s="816"/>
      <c r="C221" s="867"/>
      <c r="D221" s="810"/>
      <c r="E221" s="868"/>
      <c r="F221" s="868"/>
      <c r="G221" s="868"/>
      <c r="H221" s="805"/>
      <c r="I221" s="813"/>
      <c r="J221" s="852" t="s">
        <v>993</v>
      </c>
      <c r="K221" s="848"/>
      <c r="L221" s="848"/>
      <c r="M221" s="848"/>
      <c r="N221" s="848"/>
      <c r="O221" s="848"/>
      <c r="P221" s="848"/>
      <c r="Q221" s="848"/>
      <c r="R221" s="848"/>
      <c r="S221" s="848"/>
      <c r="T221" s="848"/>
      <c r="U221" s="853"/>
      <c r="V221" s="805"/>
    </row>
    <row r="222" spans="1:24" ht="20" x14ac:dyDescent="0.2">
      <c r="A222" s="804"/>
      <c r="B222" s="816"/>
      <c r="C222" s="867"/>
      <c r="D222" s="810"/>
      <c r="E222" s="868"/>
      <c r="F222" s="868"/>
      <c r="G222" s="868"/>
      <c r="H222" s="805"/>
      <c r="I222" s="813"/>
      <c r="J222" s="852" t="s">
        <v>994</v>
      </c>
      <c r="K222" s="848"/>
      <c r="L222" s="848"/>
      <c r="M222" s="848"/>
      <c r="N222" s="848"/>
      <c r="O222" s="848"/>
      <c r="P222" s="848"/>
      <c r="Q222" s="848"/>
      <c r="R222" s="848"/>
      <c r="S222" s="848"/>
      <c r="T222" s="848"/>
      <c r="U222" s="853"/>
      <c r="V222" s="805"/>
    </row>
    <row r="223" spans="1:24" ht="20" x14ac:dyDescent="0.2">
      <c r="A223" s="804"/>
      <c r="B223" s="816"/>
      <c r="C223" s="867"/>
      <c r="D223" s="810"/>
      <c r="E223" s="868"/>
      <c r="F223" s="868"/>
      <c r="G223" s="868"/>
      <c r="H223" s="805"/>
      <c r="I223" s="813"/>
      <c r="J223" s="852" t="s">
        <v>1130</v>
      </c>
      <c r="K223" s="848"/>
      <c r="L223" s="848"/>
      <c r="M223" s="848"/>
      <c r="N223" s="848"/>
      <c r="O223" s="848"/>
      <c r="P223" s="848"/>
      <c r="Q223" s="848"/>
      <c r="R223" s="848"/>
      <c r="S223" s="848"/>
      <c r="T223" s="848"/>
      <c r="U223" s="853"/>
      <c r="V223" s="805"/>
    </row>
    <row r="224" spans="1:24" ht="20" x14ac:dyDescent="0.2">
      <c r="A224" s="804"/>
      <c r="B224" s="816"/>
      <c r="C224" s="867"/>
      <c r="D224" s="810"/>
      <c r="E224" s="868"/>
      <c r="F224" s="868"/>
      <c r="G224" s="868"/>
      <c r="H224" s="805"/>
      <c r="I224" s="813"/>
      <c r="J224" s="852" t="s">
        <v>1131</v>
      </c>
      <c r="K224" s="848"/>
      <c r="L224" s="848"/>
      <c r="M224" s="848"/>
      <c r="N224" s="848"/>
      <c r="O224" s="848"/>
      <c r="P224" s="848"/>
      <c r="Q224" s="848"/>
      <c r="R224" s="848"/>
      <c r="S224" s="848"/>
      <c r="T224" s="848"/>
      <c r="U224" s="853"/>
      <c r="V224" s="805"/>
    </row>
    <row r="225" spans="1:22" ht="20" x14ac:dyDescent="0.2">
      <c r="A225" s="804"/>
      <c r="B225" s="816"/>
      <c r="C225" s="867"/>
      <c r="D225" s="810"/>
      <c r="E225" s="868"/>
      <c r="F225" s="868"/>
      <c r="G225" s="868"/>
      <c r="H225" s="805"/>
      <c r="I225" s="813"/>
      <c r="J225" s="852" t="s">
        <v>995</v>
      </c>
      <c r="K225" s="848"/>
      <c r="L225" s="848"/>
      <c r="M225" s="848"/>
      <c r="N225" s="848"/>
      <c r="O225" s="848"/>
      <c r="P225" s="848"/>
      <c r="Q225" s="848"/>
      <c r="R225" s="848"/>
      <c r="S225" s="848"/>
      <c r="T225" s="848"/>
      <c r="U225" s="853"/>
      <c r="V225" s="805"/>
    </row>
    <row r="226" spans="1:22" ht="20" x14ac:dyDescent="0.2">
      <c r="A226" s="804"/>
      <c r="B226" s="816"/>
      <c r="C226" s="867"/>
      <c r="D226" s="810"/>
      <c r="E226" s="868"/>
      <c r="F226" s="868"/>
      <c r="G226" s="868"/>
      <c r="H226" s="805"/>
      <c r="I226" s="813"/>
      <c r="J226" s="852" t="s">
        <v>1132</v>
      </c>
      <c r="K226" s="848"/>
      <c r="L226" s="848"/>
      <c r="M226" s="848"/>
      <c r="N226" s="848"/>
      <c r="O226" s="848"/>
      <c r="P226" s="848"/>
      <c r="Q226" s="848"/>
      <c r="R226" s="848"/>
      <c r="S226" s="848"/>
      <c r="T226" s="848"/>
      <c r="U226" s="853"/>
      <c r="V226" s="805"/>
    </row>
    <row r="227" spans="1:22" ht="21" x14ac:dyDescent="0.2">
      <c r="A227" s="804"/>
      <c r="B227" s="802" t="s">
        <v>680</v>
      </c>
      <c r="C227" s="867"/>
      <c r="D227" s="810"/>
      <c r="E227" s="868"/>
      <c r="F227" s="868"/>
      <c r="G227" s="868"/>
      <c r="H227" s="805"/>
      <c r="I227" s="813"/>
      <c r="J227" s="852" t="s">
        <v>996</v>
      </c>
      <c r="K227" s="848"/>
      <c r="L227" s="848"/>
      <c r="M227" s="848"/>
      <c r="N227" s="848"/>
      <c r="O227" s="848"/>
      <c r="P227" s="848"/>
      <c r="Q227" s="848"/>
      <c r="R227" s="848"/>
      <c r="S227" s="848"/>
      <c r="T227" s="848"/>
      <c r="U227" s="853"/>
      <c r="V227" s="805"/>
    </row>
    <row r="228" spans="1:22" ht="20" x14ac:dyDescent="0.2">
      <c r="A228" s="804"/>
      <c r="B228" s="816"/>
      <c r="C228" s="867"/>
      <c r="D228" s="810"/>
      <c r="E228" s="868"/>
      <c r="F228" s="868"/>
      <c r="G228" s="868"/>
      <c r="H228" s="805"/>
      <c r="I228" s="813"/>
      <c r="J228" s="852" t="s">
        <v>997</v>
      </c>
      <c r="K228" s="848"/>
      <c r="L228" s="848"/>
      <c r="M228" s="848"/>
      <c r="N228" s="848"/>
      <c r="O228" s="848"/>
      <c r="P228" s="848"/>
      <c r="Q228" s="848"/>
      <c r="R228" s="848"/>
      <c r="S228" s="848"/>
      <c r="T228" s="848"/>
      <c r="U228" s="853"/>
      <c r="V228" s="805"/>
    </row>
    <row r="229" spans="1:22" ht="21" x14ac:dyDescent="0.2">
      <c r="A229" s="804"/>
      <c r="B229" s="802"/>
      <c r="C229" s="867"/>
      <c r="D229" s="810"/>
      <c r="E229" s="868"/>
      <c r="F229" s="868"/>
      <c r="G229" s="868"/>
      <c r="H229" s="805"/>
      <c r="I229" s="813"/>
      <c r="J229" s="852" t="s">
        <v>1146</v>
      </c>
      <c r="K229" s="848"/>
      <c r="L229" s="848"/>
      <c r="M229" s="848"/>
      <c r="N229" s="848"/>
      <c r="O229" s="848"/>
      <c r="P229" s="848"/>
      <c r="Q229" s="848"/>
      <c r="R229" s="848"/>
      <c r="S229" s="848"/>
      <c r="T229" s="848"/>
      <c r="U229" s="853"/>
      <c r="V229" s="805"/>
    </row>
    <row r="230" spans="1:22" ht="20" x14ac:dyDescent="0.2">
      <c r="A230" s="804"/>
      <c r="B230" s="816"/>
      <c r="C230" s="867"/>
      <c r="D230" s="810"/>
      <c r="E230" s="868"/>
      <c r="F230" s="868"/>
      <c r="G230" s="868"/>
      <c r="H230" s="805"/>
      <c r="I230" s="813"/>
      <c r="J230" s="852" t="s">
        <v>998</v>
      </c>
      <c r="K230" s="848"/>
      <c r="L230" s="848"/>
      <c r="M230" s="848"/>
      <c r="N230" s="848"/>
      <c r="O230" s="848"/>
      <c r="P230" s="848"/>
      <c r="Q230" s="848"/>
      <c r="R230" s="848"/>
      <c r="S230" s="848"/>
      <c r="T230" s="848"/>
      <c r="U230" s="853"/>
      <c r="V230" s="805"/>
    </row>
    <row r="231" spans="1:22" ht="20" x14ac:dyDescent="0.2">
      <c r="A231" s="804"/>
      <c r="B231" s="816"/>
      <c r="C231" s="867"/>
      <c r="D231" s="810"/>
      <c r="E231" s="868"/>
      <c r="F231" s="868"/>
      <c r="G231" s="868"/>
      <c r="H231" s="805"/>
      <c r="I231" s="813"/>
      <c r="J231" s="852" t="s">
        <v>1133</v>
      </c>
      <c r="K231" s="848"/>
      <c r="L231" s="848"/>
      <c r="M231" s="848"/>
      <c r="N231" s="848"/>
      <c r="O231" s="848"/>
      <c r="P231" s="848"/>
      <c r="Q231" s="848"/>
      <c r="R231" s="848"/>
      <c r="S231" s="848"/>
      <c r="T231" s="848"/>
      <c r="U231" s="853"/>
      <c r="V231" s="805"/>
    </row>
    <row r="232" spans="1:22" ht="20" x14ac:dyDescent="0.2">
      <c r="A232" s="804"/>
      <c r="B232" s="816"/>
      <c r="C232" s="867"/>
      <c r="D232" s="810"/>
      <c r="E232" s="868"/>
      <c r="F232" s="868"/>
      <c r="G232" s="868"/>
      <c r="H232" s="805"/>
      <c r="I232" s="813"/>
      <c r="J232" s="852" t="s">
        <v>999</v>
      </c>
      <c r="K232" s="848"/>
      <c r="L232" s="848"/>
      <c r="M232" s="848"/>
      <c r="N232" s="848"/>
      <c r="O232" s="848"/>
      <c r="P232" s="848"/>
      <c r="Q232" s="848"/>
      <c r="R232" s="848"/>
      <c r="S232" s="848"/>
      <c r="T232" s="848"/>
      <c r="U232" s="853"/>
      <c r="V232" s="805"/>
    </row>
    <row r="233" spans="1:22" ht="20" x14ac:dyDescent="0.2">
      <c r="A233" s="804"/>
      <c r="B233" s="816"/>
      <c r="C233" s="867"/>
      <c r="D233" s="810"/>
      <c r="E233" s="868"/>
      <c r="F233" s="868"/>
      <c r="G233" s="868"/>
      <c r="H233" s="805"/>
      <c r="I233" s="813"/>
      <c r="J233" s="852" t="s">
        <v>1000</v>
      </c>
      <c r="K233" s="848"/>
      <c r="L233" s="848"/>
      <c r="M233" s="848"/>
      <c r="N233" s="848"/>
      <c r="O233" s="848"/>
      <c r="P233" s="848"/>
      <c r="Q233" s="848"/>
      <c r="R233" s="848"/>
      <c r="S233" s="848"/>
      <c r="T233" s="848"/>
      <c r="U233" s="853"/>
      <c r="V233" s="805"/>
    </row>
    <row r="234" spans="1:22" ht="20" x14ac:dyDescent="0.2">
      <c r="A234" s="804"/>
      <c r="B234" s="816"/>
      <c r="C234" s="867"/>
      <c r="D234" s="810"/>
      <c r="E234" s="868"/>
      <c r="F234" s="868"/>
      <c r="G234" s="868"/>
      <c r="H234" s="805"/>
      <c r="I234" s="813"/>
      <c r="J234" s="852" t="s">
        <v>1001</v>
      </c>
      <c r="K234" s="848"/>
      <c r="L234" s="848"/>
      <c r="M234" s="848"/>
      <c r="N234" s="848"/>
      <c r="O234" s="848"/>
      <c r="P234" s="848"/>
      <c r="Q234" s="848"/>
      <c r="R234" s="848"/>
      <c r="S234" s="848"/>
      <c r="T234" s="848"/>
      <c r="U234" s="853"/>
      <c r="V234" s="805"/>
    </row>
    <row r="235" spans="1:22" ht="20" x14ac:dyDescent="0.2">
      <c r="A235" s="804"/>
      <c r="B235" s="816"/>
      <c r="C235" s="867"/>
      <c r="D235" s="810"/>
      <c r="E235" s="868"/>
      <c r="F235" s="868"/>
      <c r="G235" s="868"/>
      <c r="H235" s="805"/>
      <c r="I235" s="813"/>
      <c r="J235" s="852" t="s">
        <v>1134</v>
      </c>
      <c r="K235" s="848"/>
      <c r="L235" s="848"/>
      <c r="M235" s="848"/>
      <c r="N235" s="848"/>
      <c r="O235" s="848"/>
      <c r="P235" s="848"/>
      <c r="Q235" s="848"/>
      <c r="R235" s="848"/>
      <c r="S235" s="848"/>
      <c r="T235" s="848"/>
      <c r="U235" s="853"/>
      <c r="V235" s="805"/>
    </row>
    <row r="236" spans="1:22" ht="20" x14ac:dyDescent="0.2">
      <c r="A236" s="804"/>
      <c r="B236" s="816"/>
      <c r="C236" s="867"/>
      <c r="D236" s="810"/>
      <c r="E236" s="868"/>
      <c r="F236" s="868"/>
      <c r="G236" s="868"/>
      <c r="H236" s="805"/>
      <c r="I236" s="813"/>
      <c r="J236" s="852" t="s">
        <v>1002</v>
      </c>
      <c r="K236" s="848"/>
      <c r="L236" s="848"/>
      <c r="M236" s="848"/>
      <c r="N236" s="848"/>
      <c r="O236" s="848"/>
      <c r="P236" s="848"/>
      <c r="Q236" s="848"/>
      <c r="R236" s="848"/>
      <c r="S236" s="848"/>
      <c r="T236" s="848"/>
      <c r="U236" s="853"/>
      <c r="V236" s="805"/>
    </row>
    <row r="237" spans="1:22" ht="20" x14ac:dyDescent="0.2">
      <c r="A237" s="804"/>
      <c r="B237" s="816"/>
      <c r="C237" s="867"/>
      <c r="D237" s="810"/>
      <c r="E237" s="868"/>
      <c r="F237" s="868"/>
      <c r="G237" s="868"/>
      <c r="H237" s="805"/>
      <c r="I237" s="813"/>
      <c r="J237" s="852"/>
      <c r="K237" s="848"/>
      <c r="L237" s="848"/>
      <c r="M237" s="848"/>
      <c r="N237" s="848"/>
      <c r="O237" s="848"/>
      <c r="P237" s="848"/>
      <c r="Q237" s="848"/>
      <c r="R237" s="848"/>
      <c r="S237" s="848"/>
      <c r="T237" s="848"/>
      <c r="U237" s="853"/>
      <c r="V237" s="805"/>
    </row>
    <row r="238" spans="1:22" ht="20" x14ac:dyDescent="0.2">
      <c r="A238" s="804"/>
      <c r="B238" s="816"/>
      <c r="C238" s="867"/>
      <c r="D238" s="810"/>
      <c r="E238" s="868"/>
      <c r="F238" s="868"/>
      <c r="G238" s="868"/>
      <c r="H238" s="805"/>
      <c r="I238" s="813"/>
      <c r="J238" s="852" t="s">
        <v>1135</v>
      </c>
      <c r="K238" s="848"/>
      <c r="L238" s="848"/>
      <c r="M238" s="848"/>
      <c r="N238" s="848"/>
      <c r="O238" s="848"/>
      <c r="P238" s="848"/>
      <c r="Q238" s="848"/>
      <c r="R238" s="848"/>
      <c r="S238" s="848"/>
      <c r="T238" s="848"/>
      <c r="U238" s="853"/>
      <c r="V238" s="805"/>
    </row>
    <row r="239" spans="1:22" ht="20" x14ac:dyDescent="0.2">
      <c r="A239" s="804"/>
      <c r="B239" s="816"/>
      <c r="C239" s="867"/>
      <c r="D239" s="810"/>
      <c r="E239" s="868"/>
      <c r="F239" s="868"/>
      <c r="G239" s="868"/>
      <c r="H239" s="805"/>
      <c r="I239" s="813"/>
      <c r="J239" s="852" t="s">
        <v>1136</v>
      </c>
      <c r="K239" s="848"/>
      <c r="L239" s="848"/>
      <c r="M239" s="848"/>
      <c r="N239" s="848"/>
      <c r="O239" s="848"/>
      <c r="P239" s="848"/>
      <c r="Q239" s="848"/>
      <c r="R239" s="848"/>
      <c r="S239" s="848"/>
      <c r="T239" s="848"/>
      <c r="U239" s="853"/>
      <c r="V239" s="813"/>
    </row>
    <row r="240" spans="1:22" ht="20" x14ac:dyDescent="0.2">
      <c r="A240" s="804"/>
      <c r="B240" s="816"/>
      <c r="C240" s="867"/>
      <c r="D240" s="810"/>
      <c r="E240" s="868"/>
      <c r="F240" s="868"/>
      <c r="G240" s="868"/>
      <c r="H240" s="805"/>
      <c r="I240" s="813"/>
      <c r="J240" s="852" t="s">
        <v>1137</v>
      </c>
      <c r="K240" s="848"/>
      <c r="L240" s="848"/>
      <c r="M240" s="848"/>
      <c r="N240" s="848"/>
      <c r="O240" s="848"/>
      <c r="P240" s="848"/>
      <c r="Q240" s="848"/>
      <c r="R240" s="848"/>
      <c r="S240" s="848"/>
      <c r="T240" s="848"/>
      <c r="U240" s="853"/>
      <c r="V240" s="813"/>
    </row>
    <row r="241" spans="1:22" ht="20" x14ac:dyDescent="0.2">
      <c r="A241" s="804"/>
      <c r="B241" s="816"/>
      <c r="C241" s="867"/>
      <c r="D241" s="810"/>
      <c r="E241" s="868"/>
      <c r="F241" s="868"/>
      <c r="G241" s="868"/>
      <c r="H241" s="805"/>
      <c r="I241" s="813"/>
      <c r="J241" s="852" t="s">
        <v>1138</v>
      </c>
      <c r="K241" s="848"/>
      <c r="L241" s="848"/>
      <c r="M241" s="848"/>
      <c r="N241" s="848"/>
      <c r="O241" s="848"/>
      <c r="P241" s="848"/>
      <c r="Q241" s="848"/>
      <c r="R241" s="848"/>
      <c r="S241" s="848"/>
      <c r="T241" s="848"/>
      <c r="U241" s="853"/>
      <c r="V241" s="813"/>
    </row>
    <row r="242" spans="1:22" ht="20" x14ac:dyDescent="0.2">
      <c r="A242" s="804"/>
      <c r="B242" s="816"/>
      <c r="C242" s="867"/>
      <c r="D242" s="810"/>
      <c r="E242" s="868"/>
      <c r="F242" s="868"/>
      <c r="G242" s="868"/>
      <c r="H242" s="805"/>
      <c r="I242" s="813"/>
      <c r="J242" s="854"/>
      <c r="K242" s="855"/>
      <c r="L242" s="855"/>
      <c r="M242" s="855"/>
      <c r="N242" s="855"/>
      <c r="O242" s="855"/>
      <c r="P242" s="855"/>
      <c r="Q242" s="855"/>
      <c r="R242" s="855"/>
      <c r="S242" s="855"/>
      <c r="T242" s="855"/>
      <c r="U242" s="856"/>
      <c r="V242" s="813"/>
    </row>
    <row r="243" spans="1:22" x14ac:dyDescent="0.2">
      <c r="A243" s="837"/>
      <c r="B243" s="837"/>
      <c r="C243" s="837"/>
      <c r="D243" s="837"/>
      <c r="E243" s="837"/>
      <c r="F243" s="837"/>
      <c r="G243" s="837"/>
      <c r="H243" s="837"/>
      <c r="I243" s="837"/>
      <c r="J243" s="837"/>
      <c r="K243" s="837"/>
      <c r="L243" s="837"/>
      <c r="M243" s="795"/>
      <c r="N243" s="795"/>
      <c r="O243" s="795"/>
      <c r="P243" s="795"/>
      <c r="Q243" s="795"/>
      <c r="R243" s="795"/>
      <c r="S243" s="795"/>
      <c r="T243" s="795"/>
      <c r="U243" s="795"/>
      <c r="V243" s="795"/>
    </row>
  </sheetData>
  <sheetProtection password="B437" sheet="1" objects="1" scenarios="1"/>
  <mergeCells count="16">
    <mergeCell ref="S142:T142"/>
    <mergeCell ref="S145:T145"/>
    <mergeCell ref="S148:T148"/>
    <mergeCell ref="S151:T151"/>
    <mergeCell ref="S154:T154"/>
    <mergeCell ref="S5:T5"/>
    <mergeCell ref="S14:T14"/>
    <mergeCell ref="S8:T8"/>
    <mergeCell ref="S10:T10"/>
    <mergeCell ref="S12:T12"/>
    <mergeCell ref="S208:T208"/>
    <mergeCell ref="S193:T193"/>
    <mergeCell ref="S194:T194"/>
    <mergeCell ref="S196:T197"/>
    <mergeCell ref="S199:T199"/>
    <mergeCell ref="S202:T204"/>
  </mergeCells>
  <phoneticPr fontId="4"/>
  <conditionalFormatting sqref="AH76:AH77">
    <cfRule type="colorScale" priority="24">
      <colorScale>
        <cfvo type="num" val="-1E-4"/>
        <cfvo type="num" val="0"/>
        <cfvo type="num" val="0.2"/>
        <color theme="5" tint="0.39997558519241921"/>
        <color theme="7" tint="0.79998168889431442"/>
        <color theme="8" tint="0.59999389629810485"/>
      </colorScale>
    </cfRule>
  </conditionalFormatting>
  <conditionalFormatting sqref="C92">
    <cfRule type="colorScale" priority="23">
      <colorScale>
        <cfvo type="num" val="-1E-4"/>
        <cfvo type="num" val="0"/>
        <cfvo type="num" val="0.2"/>
        <color theme="5" tint="0.39997558519241921"/>
        <color theme="7" tint="0.79998168889431442"/>
        <color theme="8" tint="0.59999389629810485"/>
      </colorScale>
    </cfRule>
  </conditionalFormatting>
  <conditionalFormatting sqref="C119">
    <cfRule type="colorScale" priority="11">
      <colorScale>
        <cfvo type="num" val="-1E-4"/>
        <cfvo type="num" val="0"/>
        <cfvo type="num" val="0.2"/>
        <color theme="5" tint="0.39997558519241921"/>
        <color theme="7" tint="0.79998168889431442"/>
        <color theme="8" tint="0.59999389629810485"/>
      </colorScale>
    </cfRule>
  </conditionalFormatting>
  <conditionalFormatting sqref="D119">
    <cfRule type="colorScale" priority="16">
      <colorScale>
        <cfvo type="num" val="-1E-4"/>
        <cfvo type="num" val="0"/>
        <cfvo type="num" val="0.2"/>
        <color theme="5" tint="0.39997558519241921"/>
        <color theme="7" tint="0.79998168889431442"/>
        <color theme="8" tint="0.59999389629810485"/>
      </colorScale>
    </cfRule>
  </conditionalFormatting>
  <conditionalFormatting sqref="D110:D114 D119">
    <cfRule type="colorScale" priority="20">
      <colorScale>
        <cfvo type="num" val="-1E-4"/>
        <cfvo type="num" val="0"/>
        <cfvo type="num" val="0.2"/>
        <color theme="5" tint="0.39997558519241921"/>
        <color theme="7" tint="0.79998168889431442"/>
        <color theme="8" tint="0.59999389629810485"/>
      </colorScale>
    </cfRule>
  </conditionalFormatting>
  <conditionalFormatting sqref="D115">
    <cfRule type="colorScale" priority="19">
      <colorScale>
        <cfvo type="num" val="-1E-4"/>
        <cfvo type="num" val="0"/>
        <cfvo type="num" val="0.2"/>
        <color theme="5" tint="0.39997558519241921"/>
        <color theme="7" tint="0.79998168889431442"/>
        <color theme="8" tint="0.59999389629810485"/>
      </colorScale>
    </cfRule>
  </conditionalFormatting>
  <conditionalFormatting sqref="D116:D118">
    <cfRule type="colorScale" priority="18">
      <colorScale>
        <cfvo type="num" val="-1E-4"/>
        <cfvo type="num" val="0"/>
        <cfvo type="num" val="0.2"/>
        <color theme="5" tint="0.39997558519241921"/>
        <color theme="7" tint="0.79998168889431442"/>
        <color theme="8" tint="0.59999389629810485"/>
      </colorScale>
    </cfRule>
  </conditionalFormatting>
  <conditionalFormatting sqref="D120">
    <cfRule type="colorScale" priority="17">
      <colorScale>
        <cfvo type="num" val="-1E-4"/>
        <cfvo type="num" val="0"/>
        <cfvo type="num" val="0.2"/>
        <color theme="5" tint="0.39997558519241921"/>
        <color theme="7" tint="0.79998168889431442"/>
        <color theme="8" tint="0.59999389629810485"/>
      </colorScale>
    </cfRule>
  </conditionalFormatting>
  <conditionalFormatting sqref="C120">
    <cfRule type="colorScale" priority="12">
      <colorScale>
        <cfvo type="num" val="-1E-4"/>
        <cfvo type="num" val="0"/>
        <cfvo type="num" val="0.2"/>
        <color theme="5" tint="0.39997558519241921"/>
        <color theme="7" tint="0.79998168889431442"/>
        <color theme="8" tint="0.59999389629810485"/>
      </colorScale>
    </cfRule>
  </conditionalFormatting>
  <conditionalFormatting sqref="C110:C114 C119">
    <cfRule type="colorScale" priority="15">
      <colorScale>
        <cfvo type="num" val="-1E-4"/>
        <cfvo type="num" val="0"/>
        <cfvo type="num" val="0.2"/>
        <color theme="5" tint="0.39997558519241921"/>
        <color theme="7" tint="0.79998168889431442"/>
        <color theme="8" tint="0.59999389629810485"/>
      </colorScale>
    </cfRule>
  </conditionalFormatting>
  <conditionalFormatting sqref="C115">
    <cfRule type="colorScale" priority="14">
      <colorScale>
        <cfvo type="num" val="-1E-4"/>
        <cfvo type="num" val="0"/>
        <cfvo type="num" val="0.2"/>
        <color theme="5" tint="0.39997558519241921"/>
        <color theme="7" tint="0.79998168889431442"/>
        <color theme="8" tint="0.59999389629810485"/>
      </colorScale>
    </cfRule>
  </conditionalFormatting>
  <conditionalFormatting sqref="C116:C118">
    <cfRule type="colorScale" priority="13">
      <colorScale>
        <cfvo type="num" val="-1E-4"/>
        <cfvo type="num" val="0"/>
        <cfvo type="num" val="0.2"/>
        <color theme="5" tint="0.39997558519241921"/>
        <color theme="7" tint="0.79998168889431442"/>
        <color theme="8" tint="0.59999389629810485"/>
      </colorScale>
    </cfRule>
  </conditionalFormatting>
  <conditionalFormatting sqref="AA118">
    <cfRule type="colorScale" priority="6">
      <colorScale>
        <cfvo type="num" val="-1E-4"/>
        <cfvo type="num" val="0"/>
        <cfvo type="num" val="0.2"/>
        <color theme="5" tint="0.39997558519241921"/>
        <color theme="7" tint="0.79998168889431442"/>
        <color theme="8" tint="0.59999389629810485"/>
      </colorScale>
    </cfRule>
  </conditionalFormatting>
  <conditionalFormatting sqref="AA109:AA113 AA118">
    <cfRule type="colorScale" priority="10">
      <colorScale>
        <cfvo type="num" val="-1E-4"/>
        <cfvo type="num" val="0"/>
        <cfvo type="num" val="0.2"/>
        <color theme="5" tint="0.39997558519241921"/>
        <color theme="7" tint="0.79998168889431442"/>
        <color theme="8" tint="0.59999389629810485"/>
      </colorScale>
    </cfRule>
  </conditionalFormatting>
  <conditionalFormatting sqref="AA114">
    <cfRule type="colorScale" priority="9">
      <colorScale>
        <cfvo type="num" val="-1E-4"/>
        <cfvo type="num" val="0"/>
        <cfvo type="num" val="0.2"/>
        <color theme="5" tint="0.39997558519241921"/>
        <color theme="7" tint="0.79998168889431442"/>
        <color theme="8" tint="0.59999389629810485"/>
      </colorScale>
    </cfRule>
  </conditionalFormatting>
  <conditionalFormatting sqref="AA115:AA117">
    <cfRule type="colorScale" priority="8">
      <colorScale>
        <cfvo type="num" val="-1E-4"/>
        <cfvo type="num" val="0"/>
        <cfvo type="num" val="0.2"/>
        <color theme="5" tint="0.39997558519241921"/>
        <color theme="7" tint="0.79998168889431442"/>
        <color theme="8" tint="0.59999389629810485"/>
      </colorScale>
    </cfRule>
  </conditionalFormatting>
  <conditionalFormatting sqref="AA119">
    <cfRule type="colorScale" priority="7">
      <colorScale>
        <cfvo type="num" val="-1E-4"/>
        <cfvo type="num" val="0"/>
        <cfvo type="num" val="0.2"/>
        <color theme="5" tint="0.39997558519241921"/>
        <color theme="7" tint="0.79998168889431442"/>
        <color theme="8" tint="0.59999389629810485"/>
      </colorScale>
    </cfRule>
  </conditionalFormatting>
  <conditionalFormatting sqref="AD118">
    <cfRule type="colorScale" priority="1">
      <colorScale>
        <cfvo type="num" val="-1E-4"/>
        <cfvo type="num" val="0"/>
        <cfvo type="num" val="0.2"/>
        <color theme="5" tint="0.39997558519241921"/>
        <color theme="7" tint="0.79998168889431442"/>
        <color theme="8" tint="0.59999389629810485"/>
      </colorScale>
    </cfRule>
  </conditionalFormatting>
  <conditionalFormatting sqref="AD109:AD113 AD118">
    <cfRule type="colorScale" priority="5">
      <colorScale>
        <cfvo type="num" val="-1E-4"/>
        <cfvo type="num" val="0"/>
        <cfvo type="num" val="0.2"/>
        <color theme="5" tint="0.39997558519241921"/>
        <color theme="7" tint="0.79998168889431442"/>
        <color theme="8" tint="0.59999389629810485"/>
      </colorScale>
    </cfRule>
  </conditionalFormatting>
  <conditionalFormatting sqref="AD114">
    <cfRule type="colorScale" priority="4">
      <colorScale>
        <cfvo type="num" val="-1E-4"/>
        <cfvo type="num" val="0"/>
        <cfvo type="num" val="0.2"/>
        <color theme="5" tint="0.39997558519241921"/>
        <color theme="7" tint="0.79998168889431442"/>
        <color theme="8" tint="0.59999389629810485"/>
      </colorScale>
    </cfRule>
  </conditionalFormatting>
  <conditionalFormatting sqref="AD115:AD117">
    <cfRule type="colorScale" priority="3">
      <colorScale>
        <cfvo type="num" val="-1E-4"/>
        <cfvo type="num" val="0"/>
        <cfvo type="num" val="0.2"/>
        <color theme="5" tint="0.39997558519241921"/>
        <color theme="7" tint="0.79998168889431442"/>
        <color theme="8" tint="0.59999389629810485"/>
      </colorScale>
    </cfRule>
  </conditionalFormatting>
  <conditionalFormatting sqref="AD119">
    <cfRule type="colorScale" priority="2">
      <colorScale>
        <cfvo type="num" val="-1E-4"/>
        <cfvo type="num" val="0"/>
        <cfvo type="num" val="0.2"/>
        <color theme="5" tint="0.39997558519241921"/>
        <color theme="7" tint="0.79998168889431442"/>
        <color theme="8" tint="0.59999389629810485"/>
      </colorScale>
    </cfRule>
  </conditionalFormatting>
  <dataValidations disablePrompts="1" count="1">
    <dataValidation type="list" allowBlank="1" showInputMessage="1" showErrorMessage="1" sqref="F128:G128 D3 F3:G3">
      <formula1>#REF!</formula1>
    </dataValidation>
  </dataValidations>
  <pageMargins left="0.7" right="0.7" top="0.75" bottom="0.75" header="0.3" footer="0.3"/>
  <pageSetup paperSize="8" scale="44" fitToHeight="0" orientation="portrait" r:id="rId1"/>
  <headerFooter alignWithMargins="0"/>
  <rowBreaks count="1" manualBreakCount="1">
    <brk id="12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50"/>
    <pageSetUpPr fitToPage="1"/>
  </sheetPr>
  <dimension ref="A1:N191"/>
  <sheetViews>
    <sheetView workbookViewId="0"/>
  </sheetViews>
  <sheetFormatPr defaultColWidth="8.90625" defaultRowHeight="14" x14ac:dyDescent="0.2"/>
  <cols>
    <col min="1" max="1" width="25.08984375" style="377" customWidth="1"/>
    <col min="2" max="2" width="38" style="377" customWidth="1"/>
    <col min="3" max="3" width="14.36328125" style="377" customWidth="1"/>
    <col min="4" max="4" width="15.7265625" style="377" customWidth="1"/>
    <col min="5" max="5" width="18.36328125" style="377" customWidth="1"/>
    <col min="6" max="6" width="10.26953125" style="377" customWidth="1"/>
    <col min="7" max="7" width="21.453125" style="377" customWidth="1"/>
    <col min="8" max="8" width="10.26953125" style="377" customWidth="1"/>
    <col min="9" max="9" width="21.453125" style="377" customWidth="1"/>
    <col min="10" max="10" width="10.26953125" style="377" customWidth="1"/>
    <col min="11" max="11" width="21.453125" style="377" customWidth="1"/>
    <col min="12" max="16384" width="8.90625" style="377"/>
  </cols>
  <sheetData>
    <row r="1" spans="1:14" x14ac:dyDescent="0.2">
      <c r="A1" s="377" t="s">
        <v>498</v>
      </c>
    </row>
    <row r="2" spans="1:14" ht="28.5" thickBot="1" x14ac:dyDescent="0.25">
      <c r="E2" s="675" t="s">
        <v>484</v>
      </c>
      <c r="F2" s="781" t="s">
        <v>495</v>
      </c>
      <c r="G2" s="781"/>
      <c r="H2" s="703"/>
      <c r="I2" s="703"/>
      <c r="J2" s="703"/>
      <c r="K2" s="703"/>
    </row>
    <row r="3" spans="1:14" ht="15.5" x14ac:dyDescent="0.2">
      <c r="A3" s="374" t="s">
        <v>821</v>
      </c>
      <c r="B3" s="375"/>
      <c r="C3" s="375"/>
      <c r="D3" s="376"/>
      <c r="E3" s="745"/>
      <c r="F3" s="709"/>
      <c r="G3" s="710"/>
      <c r="H3" s="711"/>
      <c r="I3" s="710"/>
      <c r="J3" s="711"/>
      <c r="K3" s="712"/>
      <c r="M3" s="1026" t="s">
        <v>169</v>
      </c>
      <c r="N3" s="1027"/>
    </row>
    <row r="4" spans="1:14" ht="29.15" customHeight="1" thickBot="1" x14ac:dyDescent="0.25">
      <c r="A4" s="1028" t="s">
        <v>821</v>
      </c>
      <c r="B4" s="1029"/>
      <c r="C4" s="1029"/>
      <c r="D4" s="380"/>
      <c r="E4" s="746" t="s">
        <v>170</v>
      </c>
      <c r="F4" s="1343" t="s">
        <v>822</v>
      </c>
      <c r="G4" s="1344"/>
      <c r="H4" s="1344"/>
      <c r="I4" s="1344"/>
      <c r="J4" s="1344"/>
      <c r="K4" s="1345"/>
      <c r="M4" s="1030" t="s">
        <v>823</v>
      </c>
      <c r="N4" s="1027"/>
    </row>
    <row r="5" spans="1:14" ht="15.5" x14ac:dyDescent="0.2">
      <c r="A5" s="374" t="s">
        <v>183</v>
      </c>
      <c r="B5" s="375"/>
      <c r="C5" s="375"/>
      <c r="D5" s="376" t="s">
        <v>1</v>
      </c>
      <c r="E5" s="745" t="s">
        <v>362</v>
      </c>
      <c r="F5" s="709"/>
      <c r="G5" s="710"/>
      <c r="H5" s="711"/>
      <c r="I5" s="710"/>
      <c r="J5" s="711"/>
      <c r="K5" s="712"/>
    </row>
    <row r="6" spans="1:14" ht="15.5" x14ac:dyDescent="0.2">
      <c r="A6" s="378" t="s">
        <v>122</v>
      </c>
      <c r="B6" s="379" t="s">
        <v>363</v>
      </c>
      <c r="C6" s="379"/>
      <c r="D6" s="380" t="s">
        <v>184</v>
      </c>
      <c r="E6" s="746">
        <f>入門編_計算シート!K32</f>
        <v>709.46777343750011</v>
      </c>
      <c r="F6" s="760"/>
      <c r="G6" s="704"/>
      <c r="H6" s="704"/>
      <c r="I6" s="704"/>
      <c r="J6" s="704"/>
      <c r="K6" s="717"/>
    </row>
    <row r="7" spans="1:14" ht="15.5" x14ac:dyDescent="0.2">
      <c r="A7" s="378"/>
      <c r="B7" s="379" t="s">
        <v>364</v>
      </c>
      <c r="C7" s="379"/>
      <c r="D7" s="380" t="s">
        <v>415</v>
      </c>
      <c r="E7" s="746"/>
      <c r="F7" s="761"/>
      <c r="G7" s="705"/>
      <c r="H7" s="705"/>
      <c r="I7" s="705"/>
      <c r="J7" s="705"/>
      <c r="K7" s="718"/>
    </row>
    <row r="8" spans="1:14" ht="15.5" x14ac:dyDescent="0.2">
      <c r="A8" s="378" t="s">
        <v>189</v>
      </c>
      <c r="B8" s="379" t="s">
        <v>365</v>
      </c>
      <c r="C8" s="379"/>
      <c r="D8" s="380" t="s">
        <v>190</v>
      </c>
      <c r="E8" s="747">
        <f>入門編_計算シート!K34/100</f>
        <v>0.3</v>
      </c>
      <c r="F8" s="740"/>
      <c r="G8" s="706"/>
      <c r="H8" s="706"/>
      <c r="I8" s="706"/>
      <c r="J8" s="706"/>
      <c r="K8" s="719"/>
    </row>
    <row r="9" spans="1:14" ht="15.5" x14ac:dyDescent="0.2">
      <c r="A9" s="378"/>
      <c r="B9" s="379" t="s">
        <v>366</v>
      </c>
      <c r="C9" s="379"/>
      <c r="D9" s="380" t="s">
        <v>36</v>
      </c>
      <c r="E9" s="747"/>
      <c r="F9" s="740"/>
      <c r="G9" s="706"/>
      <c r="H9" s="706"/>
      <c r="I9" s="706"/>
      <c r="J9" s="706"/>
      <c r="K9" s="719"/>
    </row>
    <row r="10" spans="1:14" ht="15.5" x14ac:dyDescent="0.2">
      <c r="A10" s="378" t="s">
        <v>412</v>
      </c>
      <c r="B10" s="379" t="s">
        <v>410</v>
      </c>
      <c r="C10" s="379"/>
      <c r="D10" s="380" t="s">
        <v>36</v>
      </c>
      <c r="E10" s="748">
        <f>1-入門編_計算シート!C32</f>
        <v>0.18999999999999995</v>
      </c>
      <c r="F10" s="740"/>
      <c r="G10" s="706"/>
      <c r="H10" s="706"/>
      <c r="I10" s="706"/>
      <c r="J10" s="706"/>
      <c r="K10" s="719"/>
    </row>
    <row r="11" spans="1:14" ht="15.5" x14ac:dyDescent="0.2">
      <c r="A11" s="378"/>
      <c r="B11" s="379" t="s">
        <v>411</v>
      </c>
      <c r="C11" s="379"/>
      <c r="D11" s="380" t="s">
        <v>36</v>
      </c>
      <c r="E11" s="748"/>
      <c r="F11" s="740"/>
      <c r="G11" s="706"/>
      <c r="H11" s="706"/>
      <c r="I11" s="706"/>
      <c r="J11" s="706"/>
      <c r="K11" s="719"/>
    </row>
    <row r="12" spans="1:14" ht="15.5" x14ac:dyDescent="0.2">
      <c r="A12" s="381" t="s">
        <v>123</v>
      </c>
      <c r="B12" s="382" t="s">
        <v>367</v>
      </c>
      <c r="C12" s="382"/>
      <c r="D12" s="383" t="s">
        <v>199</v>
      </c>
      <c r="E12" s="749">
        <f>入門編_計算シート!C34</f>
        <v>330</v>
      </c>
      <c r="F12" s="741"/>
      <c r="G12" s="707"/>
      <c r="H12" s="707"/>
      <c r="I12" s="707"/>
      <c r="J12" s="707"/>
      <c r="K12" s="720"/>
    </row>
    <row r="13" spans="1:14" ht="16" thickBot="1" x14ac:dyDescent="0.25">
      <c r="A13" s="381"/>
      <c r="B13" s="382" t="s">
        <v>368</v>
      </c>
      <c r="C13" s="382"/>
      <c r="D13" s="383" t="s">
        <v>413</v>
      </c>
      <c r="E13" s="749">
        <v>24</v>
      </c>
      <c r="F13" s="762"/>
      <c r="G13" s="708"/>
      <c r="H13" s="708"/>
      <c r="I13" s="708"/>
      <c r="J13" s="708"/>
      <c r="K13" s="721"/>
    </row>
    <row r="14" spans="1:14" ht="15.5" x14ac:dyDescent="0.2">
      <c r="A14" s="384" t="s">
        <v>185</v>
      </c>
      <c r="B14" s="385"/>
      <c r="C14" s="385"/>
      <c r="D14" s="386" t="s">
        <v>1</v>
      </c>
      <c r="E14" s="745" t="s">
        <v>362</v>
      </c>
      <c r="F14" s="763" t="s">
        <v>489</v>
      </c>
      <c r="G14" s="713"/>
      <c r="H14" s="714"/>
      <c r="I14" s="715"/>
      <c r="J14" s="714"/>
      <c r="K14" s="716"/>
    </row>
    <row r="15" spans="1:14" ht="15.5" x14ac:dyDescent="0.2">
      <c r="A15" s="387" t="s">
        <v>3</v>
      </c>
      <c r="B15" s="388" t="s">
        <v>31</v>
      </c>
      <c r="C15" s="388"/>
      <c r="D15" s="389" t="s">
        <v>200</v>
      </c>
      <c r="E15" s="750">
        <f>入門編_計算シート!C33</f>
        <v>15</v>
      </c>
      <c r="F15" s="764">
        <f>入門編_計算シート!E137</f>
        <v>15</v>
      </c>
      <c r="G15" s="389" t="s">
        <v>200</v>
      </c>
      <c r="H15" s="704"/>
      <c r="I15" s="704"/>
      <c r="J15" s="704"/>
      <c r="K15" s="723"/>
    </row>
    <row r="16" spans="1:14" ht="15.5" x14ac:dyDescent="0.2">
      <c r="A16" s="387" t="s">
        <v>4</v>
      </c>
      <c r="B16" s="388" t="s">
        <v>369</v>
      </c>
      <c r="C16" s="388"/>
      <c r="D16" s="389" t="s">
        <v>414</v>
      </c>
      <c r="E16" s="750"/>
      <c r="F16" s="765"/>
      <c r="G16" s="389" t="s">
        <v>414</v>
      </c>
      <c r="H16" s="705"/>
      <c r="I16" s="705"/>
      <c r="J16" s="705"/>
      <c r="K16" s="718"/>
    </row>
    <row r="17" spans="1:11" ht="15.5" x14ac:dyDescent="0.2">
      <c r="A17" s="387" t="s">
        <v>416</v>
      </c>
      <c r="B17" s="388" t="s">
        <v>418</v>
      </c>
      <c r="C17" s="388"/>
      <c r="D17" s="389"/>
      <c r="E17" s="751"/>
      <c r="F17" s="790"/>
      <c r="G17" s="791"/>
      <c r="H17" s="706"/>
      <c r="I17" s="706"/>
      <c r="J17" s="706"/>
      <c r="K17" s="719"/>
    </row>
    <row r="18" spans="1:11" ht="15.5" x14ac:dyDescent="0.2">
      <c r="A18" s="387" t="s">
        <v>586</v>
      </c>
      <c r="B18" s="620" t="s">
        <v>741</v>
      </c>
      <c r="C18" s="388" t="s">
        <v>166</v>
      </c>
      <c r="D18" s="621" t="s">
        <v>500</v>
      </c>
      <c r="E18" s="752">
        <f>入門編_計算シート!C39</f>
        <v>0</v>
      </c>
      <c r="F18" s="782"/>
      <c r="G18" s="784" t="s">
        <v>422</v>
      </c>
      <c r="H18" s="706"/>
      <c r="I18" s="706"/>
      <c r="J18" s="706"/>
      <c r="K18" s="719"/>
    </row>
    <row r="19" spans="1:11" ht="15.5" x14ac:dyDescent="0.2">
      <c r="A19" s="387"/>
      <c r="B19" s="388"/>
      <c r="C19" s="388" t="s">
        <v>167</v>
      </c>
      <c r="D19" s="622" t="s">
        <v>501</v>
      </c>
      <c r="E19" s="752">
        <f>入門編_計算シート!C40</f>
        <v>0</v>
      </c>
      <c r="F19" s="782"/>
      <c r="G19" s="784" t="s">
        <v>421</v>
      </c>
      <c r="H19" s="706"/>
      <c r="I19" s="706"/>
      <c r="J19" s="706"/>
      <c r="K19" s="719"/>
    </row>
    <row r="20" spans="1:11" ht="15.5" x14ac:dyDescent="0.2">
      <c r="A20" s="387" t="s">
        <v>191</v>
      </c>
      <c r="B20" s="620" t="s">
        <v>742</v>
      </c>
      <c r="C20" s="388" t="s">
        <v>166</v>
      </c>
      <c r="D20" s="621" t="s">
        <v>422</v>
      </c>
      <c r="E20" s="752">
        <f>入門編_計算シート!C42</f>
        <v>0</v>
      </c>
      <c r="F20" s="782"/>
      <c r="G20" s="784" t="s">
        <v>422</v>
      </c>
      <c r="H20" s="706"/>
      <c r="I20" s="706"/>
      <c r="J20" s="706"/>
      <c r="K20" s="719"/>
    </row>
    <row r="21" spans="1:11" ht="15.5" x14ac:dyDescent="0.2">
      <c r="A21" s="387"/>
      <c r="B21" s="388"/>
      <c r="C21" s="388" t="s">
        <v>167</v>
      </c>
      <c r="D21" s="622" t="s">
        <v>421</v>
      </c>
      <c r="E21" s="752">
        <f>入門編_計算シート!C43</f>
        <v>0</v>
      </c>
      <c r="F21" s="782"/>
      <c r="G21" s="784" t="s">
        <v>421</v>
      </c>
      <c r="H21" s="706"/>
      <c r="I21" s="706"/>
      <c r="J21" s="706"/>
      <c r="K21" s="719"/>
    </row>
    <row r="22" spans="1:11" ht="15.5" x14ac:dyDescent="0.2">
      <c r="A22" s="387" t="s">
        <v>192</v>
      </c>
      <c r="B22" s="977" t="str">
        <f>入門編_計算シート!B44</f>
        <v>その他①</v>
      </c>
      <c r="C22" s="388" t="s">
        <v>166</v>
      </c>
      <c r="D22" s="621" t="s">
        <v>422</v>
      </c>
      <c r="E22" s="752">
        <f>入門編_計算シート!C45</f>
        <v>0</v>
      </c>
      <c r="F22" s="782"/>
      <c r="G22" s="784" t="s">
        <v>422</v>
      </c>
      <c r="H22" s="706"/>
      <c r="I22" s="706"/>
      <c r="J22" s="706"/>
      <c r="K22" s="719"/>
    </row>
    <row r="23" spans="1:11" ht="15.5" x14ac:dyDescent="0.2">
      <c r="A23" s="387"/>
      <c r="B23" s="388"/>
      <c r="C23" s="388" t="s">
        <v>167</v>
      </c>
      <c r="D23" s="622" t="s">
        <v>421</v>
      </c>
      <c r="E23" s="752">
        <f>入門編_計算シート!C46</f>
        <v>0</v>
      </c>
      <c r="F23" s="782"/>
      <c r="G23" s="784" t="s">
        <v>421</v>
      </c>
      <c r="H23" s="706"/>
      <c r="I23" s="706"/>
      <c r="J23" s="706"/>
      <c r="K23" s="719"/>
    </row>
    <row r="24" spans="1:11" ht="15.5" x14ac:dyDescent="0.2">
      <c r="A24" s="387" t="s">
        <v>419</v>
      </c>
      <c r="B24" s="977" t="str">
        <f>入門編_計算シート!B47</f>
        <v>その他②</v>
      </c>
      <c r="C24" s="388" t="s">
        <v>166</v>
      </c>
      <c r="D24" s="621" t="s">
        <v>422</v>
      </c>
      <c r="E24" s="752">
        <f>入門編_計算シート!C48</f>
        <v>0</v>
      </c>
      <c r="F24" s="782"/>
      <c r="G24" s="784" t="s">
        <v>422</v>
      </c>
      <c r="H24" s="706"/>
      <c r="I24" s="706"/>
      <c r="J24" s="706"/>
      <c r="K24" s="719"/>
    </row>
    <row r="25" spans="1:11" ht="15.5" x14ac:dyDescent="0.2">
      <c r="A25" s="387"/>
      <c r="B25" s="388"/>
      <c r="C25" s="388" t="s">
        <v>167</v>
      </c>
      <c r="D25" s="622" t="s">
        <v>421</v>
      </c>
      <c r="E25" s="752">
        <f>入門編_計算シート!C49</f>
        <v>0</v>
      </c>
      <c r="F25" s="782"/>
      <c r="G25" s="784" t="s">
        <v>421</v>
      </c>
      <c r="H25" s="706"/>
      <c r="I25" s="706"/>
      <c r="J25" s="706"/>
      <c r="K25" s="719"/>
    </row>
    <row r="26" spans="1:11" ht="15.5" x14ac:dyDescent="0.2">
      <c r="A26" s="387" t="s">
        <v>420</v>
      </c>
      <c r="B26" s="620" t="str">
        <f>入門編_計算シート!B50</f>
        <v>その他③</v>
      </c>
      <c r="C26" s="388" t="s">
        <v>166</v>
      </c>
      <c r="D26" s="621" t="s">
        <v>422</v>
      </c>
      <c r="E26" s="752">
        <f>入門編_計算シート!C51</f>
        <v>500</v>
      </c>
      <c r="F26" s="782"/>
      <c r="G26" s="784" t="s">
        <v>422</v>
      </c>
      <c r="H26" s="706"/>
      <c r="I26" s="706"/>
      <c r="J26" s="706"/>
      <c r="K26" s="719"/>
    </row>
    <row r="27" spans="1:11" ht="16" thickBot="1" x14ac:dyDescent="0.25">
      <c r="A27" s="387"/>
      <c r="B27" s="978">
        <f>入門編_計算シート!C50</f>
        <v>0</v>
      </c>
      <c r="C27" s="388" t="s">
        <v>167</v>
      </c>
      <c r="D27" s="623" t="s">
        <v>421</v>
      </c>
      <c r="E27" s="752">
        <f>入門編_計算シート!C52</f>
        <v>2</v>
      </c>
      <c r="F27" s="783"/>
      <c r="G27" s="785" t="s">
        <v>421</v>
      </c>
      <c r="H27" s="706"/>
      <c r="I27" s="706"/>
      <c r="J27" s="706"/>
      <c r="K27" s="719"/>
    </row>
    <row r="28" spans="1:11" ht="16" thickBot="1" x14ac:dyDescent="0.25">
      <c r="A28" s="384" t="s">
        <v>186</v>
      </c>
      <c r="B28" s="385"/>
      <c r="C28" s="385"/>
      <c r="D28" s="386" t="s">
        <v>1</v>
      </c>
      <c r="E28" s="745" t="s">
        <v>373</v>
      </c>
      <c r="F28" s="766" t="s">
        <v>490</v>
      </c>
      <c r="G28" s="733"/>
      <c r="H28" s="732" t="s">
        <v>492</v>
      </c>
      <c r="I28" s="733"/>
      <c r="J28" s="732" t="s">
        <v>491</v>
      </c>
      <c r="K28" s="734"/>
    </row>
    <row r="29" spans="1:11" ht="15.5" x14ac:dyDescent="0.2">
      <c r="A29" s="391" t="s">
        <v>187</v>
      </c>
      <c r="B29" s="619" t="str">
        <f>入力条件の変換!A17</f>
        <v>食品廃棄物</v>
      </c>
      <c r="C29" s="388" t="s">
        <v>124</v>
      </c>
      <c r="D29" s="390" t="s">
        <v>6</v>
      </c>
      <c r="E29" s="792">
        <f>-入門編_計算シート!E5</f>
        <v>-14000</v>
      </c>
      <c r="F29" s="1046"/>
      <c r="G29" s="1047"/>
      <c r="H29" s="1048"/>
      <c r="I29" s="1049"/>
      <c r="J29" s="1048"/>
      <c r="K29" s="1050"/>
    </row>
    <row r="30" spans="1:11" ht="15.5" x14ac:dyDescent="0.2">
      <c r="A30" s="391"/>
      <c r="B30" s="388"/>
      <c r="C30" s="388" t="s">
        <v>427</v>
      </c>
      <c r="D30" s="389" t="s">
        <v>163</v>
      </c>
      <c r="E30" s="799">
        <f>入門編_計算シート!C5/24</f>
        <v>2.0833333333333335</v>
      </c>
      <c r="F30" s="740"/>
      <c r="G30" s="706"/>
      <c r="H30" s="706"/>
      <c r="I30" s="724"/>
      <c r="J30" s="706"/>
      <c r="K30" s="719"/>
    </row>
    <row r="31" spans="1:11" ht="15.5" x14ac:dyDescent="0.2">
      <c r="A31" s="391"/>
      <c r="B31" s="388"/>
      <c r="C31" s="388" t="s">
        <v>125</v>
      </c>
      <c r="D31" s="392" t="s">
        <v>193</v>
      </c>
      <c r="E31" s="753"/>
      <c r="F31" s="740"/>
      <c r="G31" s="706"/>
      <c r="H31" s="706"/>
      <c r="I31" s="724"/>
      <c r="J31" s="706"/>
      <c r="K31" s="719"/>
    </row>
    <row r="32" spans="1:11" ht="15.5" x14ac:dyDescent="0.2">
      <c r="A32" s="391"/>
      <c r="B32" s="388"/>
      <c r="C32" s="388" t="s">
        <v>2</v>
      </c>
      <c r="D32" s="389" t="s">
        <v>426</v>
      </c>
      <c r="E32" s="753"/>
      <c r="F32" s="740"/>
      <c r="G32" s="706"/>
      <c r="H32" s="706"/>
      <c r="I32" s="706"/>
      <c r="J32" s="706"/>
      <c r="K32" s="719"/>
    </row>
    <row r="33" spans="1:11" ht="15.5" x14ac:dyDescent="0.2">
      <c r="A33" s="391" t="s">
        <v>194</v>
      </c>
      <c r="B33" s="620" t="str">
        <f>入力条件の変換!A18</f>
        <v>紙系廃棄物</v>
      </c>
      <c r="C33" s="388" t="s">
        <v>124</v>
      </c>
      <c r="D33" s="390" t="s">
        <v>6</v>
      </c>
      <c r="E33" s="754">
        <f>-入門編_計算シート!E6</f>
        <v>-7000</v>
      </c>
      <c r="F33" s="1051"/>
      <c r="G33" s="1052"/>
      <c r="H33" s="1052"/>
      <c r="I33" s="1052"/>
      <c r="J33" s="1052"/>
      <c r="K33" s="1053"/>
    </row>
    <row r="34" spans="1:11" ht="15.5" x14ac:dyDescent="0.2">
      <c r="A34" s="391"/>
      <c r="B34" s="388"/>
      <c r="C34" s="388" t="s">
        <v>427</v>
      </c>
      <c r="D34" s="389" t="s">
        <v>163</v>
      </c>
      <c r="E34" s="756">
        <f>入門編_計算シート!C6/24</f>
        <v>0</v>
      </c>
      <c r="F34" s="740"/>
      <c r="G34" s="706"/>
      <c r="H34" s="706"/>
      <c r="I34" s="724"/>
      <c r="J34" s="706"/>
      <c r="K34" s="719"/>
    </row>
    <row r="35" spans="1:11" ht="15.5" x14ac:dyDescent="0.2">
      <c r="A35" s="391"/>
      <c r="B35" s="388"/>
      <c r="C35" s="388" t="s">
        <v>125</v>
      </c>
      <c r="D35" s="392" t="s">
        <v>193</v>
      </c>
      <c r="E35" s="754"/>
      <c r="F35" s="740"/>
      <c r="G35" s="706"/>
      <c r="H35" s="706"/>
      <c r="I35" s="724"/>
      <c r="J35" s="706"/>
      <c r="K35" s="719"/>
    </row>
    <row r="36" spans="1:11" ht="15.5" x14ac:dyDescent="0.2">
      <c r="A36" s="391"/>
      <c r="B36" s="388"/>
      <c r="C36" s="388" t="s">
        <v>2</v>
      </c>
      <c r="D36" s="389" t="s">
        <v>426</v>
      </c>
      <c r="E36" s="755"/>
      <c r="F36" s="740"/>
      <c r="G36" s="706"/>
      <c r="H36" s="706"/>
      <c r="I36" s="706"/>
      <c r="J36" s="706"/>
      <c r="K36" s="719"/>
    </row>
    <row r="37" spans="1:11" ht="15.5" x14ac:dyDescent="0.2">
      <c r="A37" s="391" t="s">
        <v>195</v>
      </c>
      <c r="B37" s="620" t="str">
        <f>入力条件の変換!A19</f>
        <v>草木系廃棄物</v>
      </c>
      <c r="C37" s="388" t="s">
        <v>124</v>
      </c>
      <c r="D37" s="390" t="s">
        <v>6</v>
      </c>
      <c r="E37" s="754">
        <f>-入門編_計算シート!E7</f>
        <v>-7000</v>
      </c>
      <c r="F37" s="1051"/>
      <c r="G37" s="1052"/>
      <c r="H37" s="1052"/>
      <c r="I37" s="1052"/>
      <c r="J37" s="1052"/>
      <c r="K37" s="1053"/>
    </row>
    <row r="38" spans="1:11" ht="15.5" x14ac:dyDescent="0.2">
      <c r="A38" s="391"/>
      <c r="B38" s="388"/>
      <c r="C38" s="388" t="s">
        <v>427</v>
      </c>
      <c r="D38" s="389" t="s">
        <v>163</v>
      </c>
      <c r="E38" s="756">
        <f>入門編_計算シート!C7/24</f>
        <v>0</v>
      </c>
      <c r="F38" s="740"/>
      <c r="G38" s="706"/>
      <c r="H38" s="706"/>
      <c r="I38" s="724"/>
      <c r="J38" s="706"/>
      <c r="K38" s="719"/>
    </row>
    <row r="39" spans="1:11" ht="15.5" x14ac:dyDescent="0.2">
      <c r="A39" s="391"/>
      <c r="B39" s="388"/>
      <c r="C39" s="388" t="s">
        <v>125</v>
      </c>
      <c r="D39" s="392" t="s">
        <v>193</v>
      </c>
      <c r="E39" s="754"/>
      <c r="F39" s="740"/>
      <c r="G39" s="706"/>
      <c r="H39" s="706"/>
      <c r="I39" s="724"/>
      <c r="J39" s="706"/>
      <c r="K39" s="719"/>
    </row>
    <row r="40" spans="1:11" ht="15.5" x14ac:dyDescent="0.2">
      <c r="A40" s="391"/>
      <c r="B40" s="388"/>
      <c r="C40" s="388" t="s">
        <v>2</v>
      </c>
      <c r="D40" s="389" t="s">
        <v>426</v>
      </c>
      <c r="E40" s="755"/>
      <c r="F40" s="740"/>
      <c r="G40" s="706"/>
      <c r="H40" s="706"/>
      <c r="I40" s="706"/>
      <c r="J40" s="706"/>
      <c r="K40" s="719"/>
    </row>
    <row r="41" spans="1:11" ht="15.5" x14ac:dyDescent="0.2">
      <c r="A41" s="391" t="s">
        <v>196</v>
      </c>
      <c r="B41" s="620" t="str">
        <f>入力条件の変換!A20</f>
        <v>豚排泄物</v>
      </c>
      <c r="C41" s="388" t="s">
        <v>124</v>
      </c>
      <c r="D41" s="390" t="s">
        <v>6</v>
      </c>
      <c r="E41" s="754">
        <f>-入門編_計算シート!E8</f>
        <v>-2000</v>
      </c>
      <c r="F41" s="1051"/>
      <c r="G41" s="1052"/>
      <c r="H41" s="1052"/>
      <c r="I41" s="1052"/>
      <c r="J41" s="1052"/>
      <c r="K41" s="1053"/>
    </row>
    <row r="42" spans="1:11" ht="15.5" x14ac:dyDescent="0.2">
      <c r="A42" s="391"/>
      <c r="B42" s="388"/>
      <c r="C42" s="388" t="s">
        <v>427</v>
      </c>
      <c r="D42" s="389" t="s">
        <v>163</v>
      </c>
      <c r="E42" s="756">
        <f>入門編_計算シート!C8/24</f>
        <v>0</v>
      </c>
      <c r="F42" s="740"/>
      <c r="G42" s="706"/>
      <c r="H42" s="706"/>
      <c r="I42" s="724"/>
      <c r="J42" s="706"/>
      <c r="K42" s="719"/>
    </row>
    <row r="43" spans="1:11" ht="15.5" x14ac:dyDescent="0.2">
      <c r="A43" s="391"/>
      <c r="B43" s="388"/>
      <c r="C43" s="388" t="s">
        <v>125</v>
      </c>
      <c r="D43" s="392" t="s">
        <v>193</v>
      </c>
      <c r="E43" s="754"/>
      <c r="F43" s="740"/>
      <c r="G43" s="706"/>
      <c r="H43" s="706"/>
      <c r="I43" s="724"/>
      <c r="J43" s="706"/>
      <c r="K43" s="719"/>
    </row>
    <row r="44" spans="1:11" ht="15.5" x14ac:dyDescent="0.2">
      <c r="A44" s="391"/>
      <c r="B44" s="388"/>
      <c r="C44" s="388" t="s">
        <v>2</v>
      </c>
      <c r="D44" s="389" t="s">
        <v>426</v>
      </c>
      <c r="E44" s="755"/>
      <c r="F44" s="740"/>
      <c r="G44" s="706"/>
      <c r="H44" s="706"/>
      <c r="I44" s="706"/>
      <c r="J44" s="706"/>
      <c r="K44" s="719"/>
    </row>
    <row r="45" spans="1:11" ht="15.5" x14ac:dyDescent="0.2">
      <c r="A45" s="391" t="s">
        <v>128</v>
      </c>
      <c r="B45" s="620" t="str">
        <f>入力条件の変換!A21</f>
        <v>乳牛排泄物</v>
      </c>
      <c r="C45" s="388" t="s">
        <v>124</v>
      </c>
      <c r="D45" s="390" t="s">
        <v>6</v>
      </c>
      <c r="E45" s="754">
        <f>-入門編_計算シート!E9</f>
        <v>-2000</v>
      </c>
      <c r="F45" s="1051"/>
      <c r="G45" s="1052"/>
      <c r="H45" s="1052"/>
      <c r="I45" s="1052"/>
      <c r="J45" s="1052"/>
      <c r="K45" s="1053"/>
    </row>
    <row r="46" spans="1:11" ht="15.5" x14ac:dyDescent="0.2">
      <c r="A46" s="391"/>
      <c r="B46" s="388"/>
      <c r="C46" s="388" t="s">
        <v>427</v>
      </c>
      <c r="D46" s="389" t="s">
        <v>163</v>
      </c>
      <c r="E46" s="756">
        <f>入門編_計算シート!C9/24</f>
        <v>0</v>
      </c>
      <c r="F46" s="740"/>
      <c r="G46" s="706"/>
      <c r="H46" s="706"/>
      <c r="I46" s="724"/>
      <c r="J46" s="706"/>
      <c r="K46" s="719"/>
    </row>
    <row r="47" spans="1:11" ht="15.5" x14ac:dyDescent="0.2">
      <c r="A47" s="391"/>
      <c r="B47" s="388"/>
      <c r="C47" s="388" t="s">
        <v>125</v>
      </c>
      <c r="D47" s="392" t="s">
        <v>193</v>
      </c>
      <c r="E47" s="754"/>
      <c r="F47" s="740"/>
      <c r="G47" s="706"/>
      <c r="H47" s="706"/>
      <c r="I47" s="724"/>
      <c r="J47" s="706"/>
      <c r="K47" s="719"/>
    </row>
    <row r="48" spans="1:11" ht="15.5" x14ac:dyDescent="0.2">
      <c r="A48" s="391"/>
      <c r="B48" s="388"/>
      <c r="C48" s="388" t="s">
        <v>2</v>
      </c>
      <c r="D48" s="389" t="s">
        <v>426</v>
      </c>
      <c r="E48" s="755"/>
      <c r="F48" s="740"/>
      <c r="G48" s="706"/>
      <c r="H48" s="706"/>
      <c r="I48" s="706"/>
      <c r="J48" s="706"/>
      <c r="K48" s="719"/>
    </row>
    <row r="49" spans="1:11" ht="15.5" x14ac:dyDescent="0.2">
      <c r="A49" s="391" t="s">
        <v>424</v>
      </c>
      <c r="B49" s="620" t="str">
        <f>入力条件の変換!A22</f>
        <v>下水汚泥（濃縮汚泥）</v>
      </c>
      <c r="C49" s="388" t="s">
        <v>124</v>
      </c>
      <c r="D49" s="390" t="s">
        <v>6</v>
      </c>
      <c r="E49" s="754">
        <f>-入門編_計算シート!E10</f>
        <v>-12000</v>
      </c>
      <c r="F49" s="1051"/>
      <c r="G49" s="1052"/>
      <c r="H49" s="1052"/>
      <c r="I49" s="1052"/>
      <c r="J49" s="1052"/>
      <c r="K49" s="1053"/>
    </row>
    <row r="50" spans="1:11" ht="15.5" x14ac:dyDescent="0.2">
      <c r="A50" s="391"/>
      <c r="B50" s="388"/>
      <c r="C50" s="388" t="s">
        <v>427</v>
      </c>
      <c r="D50" s="389" t="s">
        <v>163</v>
      </c>
      <c r="E50" s="756">
        <f>入門編_計算シート!C10/24</f>
        <v>0</v>
      </c>
      <c r="F50" s="740"/>
      <c r="G50" s="706"/>
      <c r="H50" s="706"/>
      <c r="I50" s="724"/>
      <c r="J50" s="706"/>
      <c r="K50" s="719"/>
    </row>
    <row r="51" spans="1:11" ht="15.5" x14ac:dyDescent="0.2">
      <c r="A51" s="391"/>
      <c r="B51" s="388"/>
      <c r="C51" s="388" t="s">
        <v>125</v>
      </c>
      <c r="D51" s="392" t="s">
        <v>193</v>
      </c>
      <c r="E51" s="754"/>
      <c r="F51" s="740"/>
      <c r="G51" s="706"/>
      <c r="H51" s="706"/>
      <c r="I51" s="724"/>
      <c r="J51" s="706"/>
      <c r="K51" s="719"/>
    </row>
    <row r="52" spans="1:11" ht="15.5" x14ac:dyDescent="0.2">
      <c r="A52" s="391"/>
      <c r="B52" s="388"/>
      <c r="C52" s="388" t="s">
        <v>2</v>
      </c>
      <c r="D52" s="389" t="s">
        <v>426</v>
      </c>
      <c r="E52" s="755"/>
      <c r="F52" s="740"/>
      <c r="G52" s="706"/>
      <c r="H52" s="706"/>
      <c r="I52" s="706"/>
      <c r="J52" s="706"/>
      <c r="K52" s="719"/>
    </row>
    <row r="53" spans="1:11" ht="15.5" x14ac:dyDescent="0.2">
      <c r="A53" s="391" t="s">
        <v>425</v>
      </c>
      <c r="B53" s="620" t="s">
        <v>423</v>
      </c>
      <c r="C53" s="388" t="s">
        <v>124</v>
      </c>
      <c r="D53" s="390" t="s">
        <v>6</v>
      </c>
      <c r="E53" s="754"/>
      <c r="F53" s="1051"/>
      <c r="G53" s="1052"/>
      <c r="H53" s="1052"/>
      <c r="I53" s="1052"/>
      <c r="J53" s="1052"/>
      <c r="K53" s="1053"/>
    </row>
    <row r="54" spans="1:11" ht="15.5" x14ac:dyDescent="0.2">
      <c r="A54" s="391"/>
      <c r="B54" s="388"/>
      <c r="C54" s="388" t="s">
        <v>427</v>
      </c>
      <c r="D54" s="389" t="s">
        <v>163</v>
      </c>
      <c r="E54" s="756"/>
      <c r="F54" s="740"/>
      <c r="G54" s="706"/>
      <c r="H54" s="706"/>
      <c r="I54" s="724"/>
      <c r="J54" s="706"/>
      <c r="K54" s="719"/>
    </row>
    <row r="55" spans="1:11" ht="15.5" x14ac:dyDescent="0.2">
      <c r="A55" s="391"/>
      <c r="B55" s="388"/>
      <c r="C55" s="388" t="s">
        <v>125</v>
      </c>
      <c r="D55" s="392" t="s">
        <v>193</v>
      </c>
      <c r="E55" s="754"/>
      <c r="F55" s="740"/>
      <c r="G55" s="706"/>
      <c r="H55" s="706"/>
      <c r="I55" s="724"/>
      <c r="J55" s="706"/>
      <c r="K55" s="719"/>
    </row>
    <row r="56" spans="1:11" ht="16" thickBot="1" x14ac:dyDescent="0.25">
      <c r="A56" s="391"/>
      <c r="B56" s="388"/>
      <c r="C56" s="388" t="s">
        <v>2</v>
      </c>
      <c r="D56" s="389" t="s">
        <v>426</v>
      </c>
      <c r="E56" s="755"/>
      <c r="F56" s="1043"/>
      <c r="G56" s="1044"/>
      <c r="H56" s="1044"/>
      <c r="I56" s="1044"/>
      <c r="J56" s="1044"/>
      <c r="K56" s="1045"/>
    </row>
    <row r="57" spans="1:11" ht="16" thickBot="1" x14ac:dyDescent="0.25">
      <c r="A57" s="374" t="s">
        <v>127</v>
      </c>
      <c r="B57" s="375"/>
      <c r="C57" s="375"/>
      <c r="D57" s="376"/>
      <c r="E57" s="745" t="s">
        <v>373</v>
      </c>
      <c r="F57" s="766" t="s">
        <v>490</v>
      </c>
      <c r="G57" s="733"/>
      <c r="H57" s="732" t="s">
        <v>492</v>
      </c>
      <c r="I57" s="733"/>
      <c r="J57" s="732" t="s">
        <v>491</v>
      </c>
      <c r="K57" s="734"/>
    </row>
    <row r="58" spans="1:11" ht="15.5" x14ac:dyDescent="0.2">
      <c r="A58" s="393" t="s">
        <v>5</v>
      </c>
      <c r="B58" s="394"/>
      <c r="C58" s="395"/>
      <c r="D58" s="389"/>
      <c r="E58" s="725"/>
      <c r="F58" s="771"/>
      <c r="G58" s="731"/>
      <c r="H58" s="731"/>
      <c r="I58" s="731"/>
      <c r="J58" s="731"/>
      <c r="K58" s="772"/>
    </row>
    <row r="59" spans="1:11" ht="15.5" x14ac:dyDescent="0.2">
      <c r="A59" s="793" t="s">
        <v>172</v>
      </c>
      <c r="B59" s="388" t="s">
        <v>745</v>
      </c>
      <c r="C59" s="396"/>
      <c r="D59" s="388" t="s">
        <v>428</v>
      </c>
      <c r="E59" s="736">
        <f>入門編_計算シート!K41*1000000</f>
        <v>57525830.544324234</v>
      </c>
      <c r="F59" s="773">
        <f>入門編_計算シート!E143</f>
        <v>0.5</v>
      </c>
      <c r="G59" s="1057" t="s">
        <v>850</v>
      </c>
      <c r="H59" s="727">
        <v>0</v>
      </c>
      <c r="I59" s="728"/>
      <c r="J59" s="727">
        <v>0</v>
      </c>
      <c r="K59" s="774"/>
    </row>
    <row r="60" spans="1:11" ht="15.5" x14ac:dyDescent="0.2">
      <c r="A60" s="793" t="s">
        <v>173</v>
      </c>
      <c r="B60" s="388" t="s">
        <v>746</v>
      </c>
      <c r="C60" s="396"/>
      <c r="D60" s="388" t="s">
        <v>428</v>
      </c>
      <c r="E60" s="736">
        <f>入門編_計算シート!K42*1000000</f>
        <v>24653927.376138959</v>
      </c>
      <c r="F60" s="775">
        <f>入門編_計算シート!E144*0.5</f>
        <v>0.25</v>
      </c>
      <c r="G60" s="1058" t="s">
        <v>852</v>
      </c>
      <c r="H60" s="701">
        <v>0</v>
      </c>
      <c r="I60" s="1058" t="s">
        <v>851</v>
      </c>
      <c r="J60" s="701">
        <v>0</v>
      </c>
      <c r="K60" s="776"/>
    </row>
    <row r="61" spans="1:11" ht="15.5" x14ac:dyDescent="0.2">
      <c r="A61" s="793" t="s">
        <v>174</v>
      </c>
      <c r="B61" s="620" t="s">
        <v>432</v>
      </c>
      <c r="C61" s="396"/>
      <c r="D61" s="388" t="s">
        <v>428</v>
      </c>
      <c r="E61" s="754"/>
      <c r="F61" s="775">
        <v>0</v>
      </c>
      <c r="G61" s="729"/>
      <c r="H61" s="701">
        <v>0</v>
      </c>
      <c r="I61" s="729"/>
      <c r="J61" s="701">
        <v>0</v>
      </c>
      <c r="K61" s="776"/>
    </row>
    <row r="62" spans="1:11" ht="15.5" x14ac:dyDescent="0.2">
      <c r="A62" s="793" t="s">
        <v>175</v>
      </c>
      <c r="B62" s="620" t="s">
        <v>432</v>
      </c>
      <c r="C62" s="396"/>
      <c r="D62" s="388" t="s">
        <v>428</v>
      </c>
      <c r="E62" s="754"/>
      <c r="F62" s="775">
        <v>0</v>
      </c>
      <c r="G62" s="729"/>
      <c r="H62" s="701">
        <v>0</v>
      </c>
      <c r="I62" s="729"/>
      <c r="J62" s="701">
        <v>0</v>
      </c>
      <c r="K62" s="776"/>
    </row>
    <row r="63" spans="1:11" ht="15.5" x14ac:dyDescent="0.2">
      <c r="A63" s="793" t="s">
        <v>176</v>
      </c>
      <c r="B63" s="620" t="s">
        <v>432</v>
      </c>
      <c r="C63" s="396"/>
      <c r="D63" s="388" t="s">
        <v>428</v>
      </c>
      <c r="E63" s="754"/>
      <c r="F63" s="769">
        <v>0</v>
      </c>
      <c r="G63" s="702"/>
      <c r="H63" s="702">
        <v>0</v>
      </c>
      <c r="I63" s="702"/>
      <c r="J63" s="702">
        <v>0</v>
      </c>
      <c r="K63" s="770"/>
    </row>
    <row r="64" spans="1:11" ht="15.5" x14ac:dyDescent="0.2">
      <c r="A64" s="793" t="s">
        <v>178</v>
      </c>
      <c r="B64" s="620" t="s">
        <v>432</v>
      </c>
      <c r="C64" s="396"/>
      <c r="D64" s="388" t="s">
        <v>428</v>
      </c>
      <c r="E64" s="754"/>
      <c r="F64" s="777">
        <v>0</v>
      </c>
      <c r="G64" s="730"/>
      <c r="H64" s="730">
        <v>0</v>
      </c>
      <c r="I64" s="730"/>
      <c r="J64" s="730">
        <v>0</v>
      </c>
      <c r="K64" s="778"/>
    </row>
    <row r="65" spans="1:11" ht="15.5" x14ac:dyDescent="0.2">
      <c r="A65" s="397" t="s">
        <v>7</v>
      </c>
      <c r="B65" s="398"/>
      <c r="C65" s="398"/>
      <c r="D65" s="399"/>
      <c r="E65" s="757"/>
      <c r="F65" s="779"/>
      <c r="G65" s="726"/>
      <c r="H65" s="726"/>
      <c r="I65" s="726"/>
      <c r="J65" s="726"/>
      <c r="K65" s="780"/>
    </row>
    <row r="66" spans="1:11" ht="15.5" x14ac:dyDescent="0.2">
      <c r="A66" s="793" t="s">
        <v>429</v>
      </c>
      <c r="B66" s="388" t="s">
        <v>748</v>
      </c>
      <c r="C66" s="396"/>
      <c r="D66" s="388" t="s">
        <v>428</v>
      </c>
      <c r="E66" s="736">
        <f>入門編_計算シート!K44*1000000</f>
        <v>24653927.376138959</v>
      </c>
      <c r="F66" s="767">
        <v>1</v>
      </c>
      <c r="G66" s="1059" t="s">
        <v>853</v>
      </c>
      <c r="H66" s="722">
        <v>0</v>
      </c>
      <c r="I66" s="700"/>
      <c r="J66" s="722">
        <v>0</v>
      </c>
      <c r="K66" s="768"/>
    </row>
    <row r="67" spans="1:11" ht="15.5" x14ac:dyDescent="0.2">
      <c r="A67" s="793" t="s">
        <v>430</v>
      </c>
      <c r="B67" s="388" t="s">
        <v>747</v>
      </c>
      <c r="C67" s="396"/>
      <c r="D67" s="388" t="s">
        <v>428</v>
      </c>
      <c r="E67" s="736">
        <f>入門編_計算シート!K43*1000000</f>
        <v>41089878.960231602</v>
      </c>
      <c r="F67" s="767">
        <f>入門編_計算シート!E145</f>
        <v>0.5</v>
      </c>
      <c r="G67" s="700" t="s">
        <v>804</v>
      </c>
      <c r="H67" s="722">
        <v>0</v>
      </c>
      <c r="I67" s="700"/>
      <c r="J67" s="722">
        <v>0</v>
      </c>
      <c r="K67" s="768"/>
    </row>
    <row r="68" spans="1:11" ht="15.5" x14ac:dyDescent="0.2">
      <c r="A68" s="793" t="s">
        <v>188</v>
      </c>
      <c r="B68" s="388" t="s">
        <v>749</v>
      </c>
      <c r="C68" s="396"/>
      <c r="D68" s="388" t="s">
        <v>428</v>
      </c>
      <c r="E68" s="736">
        <f>入門編_計算シート!K45*1000000</f>
        <v>16435951.584092641</v>
      </c>
      <c r="F68" s="767">
        <f>入門編_計算シート!E147*1/3</f>
        <v>0.16666666666666666</v>
      </c>
      <c r="G68" s="1059" t="s">
        <v>854</v>
      </c>
      <c r="H68" s="722">
        <f>入門編_計算シート!E147*1/3</f>
        <v>0.16666666666666666</v>
      </c>
      <c r="I68" s="1059" t="s">
        <v>855</v>
      </c>
      <c r="J68" s="722">
        <f>入門編_計算シート!E147*1/3</f>
        <v>0.16666666666666666</v>
      </c>
      <c r="K68" s="1060" t="s">
        <v>856</v>
      </c>
    </row>
    <row r="69" spans="1:11" ht="15.5" x14ac:dyDescent="0.2">
      <c r="A69" s="793" t="s">
        <v>197</v>
      </c>
      <c r="B69" s="620" t="s">
        <v>432</v>
      </c>
      <c r="C69" s="396"/>
      <c r="D69" s="388" t="s">
        <v>428</v>
      </c>
      <c r="E69" s="754"/>
      <c r="F69" s="769">
        <v>0</v>
      </c>
      <c r="G69" s="702"/>
      <c r="H69" s="702">
        <v>0</v>
      </c>
      <c r="I69" s="702"/>
      <c r="J69" s="702">
        <v>0</v>
      </c>
      <c r="K69" s="770"/>
    </row>
    <row r="70" spans="1:11" ht="16" thickBot="1" x14ac:dyDescent="0.25">
      <c r="A70" s="794" t="s">
        <v>431</v>
      </c>
      <c r="B70" s="620" t="s">
        <v>432</v>
      </c>
      <c r="C70" s="396"/>
      <c r="D70" s="388" t="s">
        <v>428</v>
      </c>
      <c r="E70" s="758"/>
      <c r="F70" s="769">
        <v>0</v>
      </c>
      <c r="G70" s="702"/>
      <c r="H70" s="702">
        <v>0</v>
      </c>
      <c r="I70" s="702"/>
      <c r="J70" s="702">
        <v>0</v>
      </c>
      <c r="K70" s="770"/>
    </row>
    <row r="71" spans="1:11" ht="16" thickBot="1" x14ac:dyDescent="0.25">
      <c r="A71" s="384" t="s">
        <v>45</v>
      </c>
      <c r="B71" s="385"/>
      <c r="C71" s="385"/>
      <c r="D71" s="386"/>
      <c r="E71" s="745" t="s">
        <v>373</v>
      </c>
      <c r="F71" s="766" t="s">
        <v>490</v>
      </c>
      <c r="G71" s="733"/>
      <c r="H71" s="732" t="s">
        <v>492</v>
      </c>
      <c r="I71" s="733"/>
      <c r="J71" s="732" t="s">
        <v>491</v>
      </c>
      <c r="K71" s="734"/>
    </row>
    <row r="72" spans="1:11" ht="15.5" x14ac:dyDescent="0.2">
      <c r="A72" s="400"/>
      <c r="B72" s="401" t="s">
        <v>370</v>
      </c>
      <c r="C72" s="401"/>
      <c r="D72" s="402"/>
      <c r="E72" s="735"/>
      <c r="F72" s="740"/>
      <c r="G72" s="706"/>
      <c r="H72" s="706"/>
      <c r="I72" s="706"/>
      <c r="J72" s="706"/>
      <c r="K72" s="719"/>
    </row>
    <row r="73" spans="1:11" ht="15.5" x14ac:dyDescent="0.2">
      <c r="A73" s="403" t="s">
        <v>129</v>
      </c>
      <c r="B73" s="624" t="s">
        <v>486</v>
      </c>
      <c r="C73" s="382" t="s">
        <v>45</v>
      </c>
      <c r="D73" s="390" t="s">
        <v>0</v>
      </c>
      <c r="E73" s="736">
        <f>入門編_計算シート!K38*1000000*入門編_計算シート!X109</f>
        <v>1172767333.5254302</v>
      </c>
      <c r="F73" s="767">
        <f>入門編_計算シート!E141</f>
        <v>0.25</v>
      </c>
      <c r="G73" s="1059" t="s">
        <v>857</v>
      </c>
      <c r="H73" s="722">
        <v>0</v>
      </c>
      <c r="I73" s="700"/>
      <c r="J73" s="722">
        <v>0</v>
      </c>
      <c r="K73" s="768"/>
    </row>
    <row r="74" spans="1:11" ht="15.5" x14ac:dyDescent="0.2">
      <c r="A74" s="381"/>
      <c r="B74" s="382"/>
      <c r="C74" s="404" t="s">
        <v>130</v>
      </c>
      <c r="D74" s="390" t="s">
        <v>179</v>
      </c>
      <c r="E74" s="737">
        <v>0</v>
      </c>
      <c r="F74" s="740"/>
      <c r="G74" s="706"/>
      <c r="H74" s="706"/>
      <c r="I74" s="724" t="s">
        <v>494</v>
      </c>
      <c r="J74" s="706">
        <f>SUM(F73,H73,J73)</f>
        <v>0.25</v>
      </c>
      <c r="K74" s="719"/>
    </row>
    <row r="75" spans="1:11" ht="15.5" x14ac:dyDescent="0.2">
      <c r="A75" s="405"/>
      <c r="B75" s="382"/>
      <c r="C75" s="382" t="s">
        <v>131</v>
      </c>
      <c r="D75" s="390" t="s">
        <v>132</v>
      </c>
      <c r="E75" s="736">
        <v>15</v>
      </c>
      <c r="F75" s="740"/>
      <c r="G75" s="706"/>
      <c r="H75" s="706"/>
      <c r="I75" s="724" t="s">
        <v>493</v>
      </c>
      <c r="J75" s="706">
        <f>1-J74</f>
        <v>0.75</v>
      </c>
      <c r="K75" s="719"/>
    </row>
    <row r="76" spans="1:11" ht="15.5" x14ac:dyDescent="0.2">
      <c r="A76" s="403" t="s">
        <v>133</v>
      </c>
      <c r="B76" s="625" t="s">
        <v>577</v>
      </c>
      <c r="C76" s="382" t="s">
        <v>45</v>
      </c>
      <c r="D76" s="390" t="s">
        <v>0</v>
      </c>
      <c r="E76" s="754">
        <f>入門編_計算シート!K39*入門編_計算シート!X109*1000000</f>
        <v>390922444.50847667</v>
      </c>
      <c r="F76" s="769">
        <f>入門編_計算シート!E142</f>
        <v>0.5</v>
      </c>
      <c r="G76" s="1061" t="s">
        <v>859</v>
      </c>
      <c r="H76" s="702">
        <v>0</v>
      </c>
      <c r="I76" s="702"/>
      <c r="J76" s="702">
        <v>0</v>
      </c>
      <c r="K76" s="770"/>
    </row>
    <row r="77" spans="1:11" ht="15.5" x14ac:dyDescent="0.2">
      <c r="A77" s="381"/>
      <c r="B77" s="382"/>
      <c r="C77" s="404" t="s">
        <v>130</v>
      </c>
      <c r="D77" s="390" t="s">
        <v>179</v>
      </c>
      <c r="E77" s="759">
        <v>0</v>
      </c>
      <c r="F77" s="740"/>
      <c r="G77" s="706"/>
      <c r="H77" s="706"/>
      <c r="I77" s="724" t="s">
        <v>494</v>
      </c>
      <c r="J77" s="706">
        <f>SUM(F76,H76,J76)</f>
        <v>0.5</v>
      </c>
      <c r="K77" s="719"/>
    </row>
    <row r="78" spans="1:11" ht="15.5" x14ac:dyDescent="0.2">
      <c r="A78" s="405"/>
      <c r="B78" s="382"/>
      <c r="C78" s="382" t="s">
        <v>131</v>
      </c>
      <c r="D78" s="390" t="s">
        <v>132</v>
      </c>
      <c r="E78" s="754">
        <v>38</v>
      </c>
      <c r="F78" s="740"/>
      <c r="G78" s="706"/>
      <c r="H78" s="706"/>
      <c r="I78" s="724" t="s">
        <v>493</v>
      </c>
      <c r="J78" s="706">
        <f>1-J77</f>
        <v>0.5</v>
      </c>
      <c r="K78" s="719"/>
    </row>
    <row r="79" spans="1:11" ht="15.5" x14ac:dyDescent="0.2">
      <c r="A79" s="403" t="s">
        <v>134</v>
      </c>
      <c r="B79" s="625"/>
      <c r="C79" s="382" t="s">
        <v>45</v>
      </c>
      <c r="D79" s="390" t="s">
        <v>0</v>
      </c>
      <c r="E79" s="754"/>
      <c r="F79" s="769">
        <f>入門編_計算シート!E142</f>
        <v>0.5</v>
      </c>
      <c r="G79" s="702"/>
      <c r="H79" s="702">
        <v>0</v>
      </c>
      <c r="I79" s="702"/>
      <c r="J79" s="702">
        <v>0</v>
      </c>
      <c r="K79" s="770"/>
    </row>
    <row r="80" spans="1:11" ht="15.5" x14ac:dyDescent="0.2">
      <c r="A80" s="381"/>
      <c r="B80" s="382"/>
      <c r="C80" s="404" t="s">
        <v>130</v>
      </c>
      <c r="D80" s="390" t="s">
        <v>179</v>
      </c>
      <c r="E80" s="759"/>
      <c r="F80" s="740"/>
      <c r="G80" s="706"/>
      <c r="H80" s="706"/>
      <c r="I80" s="724" t="s">
        <v>494</v>
      </c>
      <c r="J80" s="706">
        <f>SUM(F79,H79,J79)</f>
        <v>0.5</v>
      </c>
      <c r="K80" s="719"/>
    </row>
    <row r="81" spans="1:11" ht="15.5" x14ac:dyDescent="0.2">
      <c r="A81" s="405"/>
      <c r="B81" s="382"/>
      <c r="C81" s="382" t="s">
        <v>131</v>
      </c>
      <c r="D81" s="390" t="s">
        <v>132</v>
      </c>
      <c r="E81" s="754"/>
      <c r="F81" s="740"/>
      <c r="G81" s="706"/>
      <c r="H81" s="706"/>
      <c r="I81" s="724" t="s">
        <v>493</v>
      </c>
      <c r="J81" s="706">
        <f>1-J80</f>
        <v>0.5</v>
      </c>
      <c r="K81" s="719"/>
    </row>
    <row r="82" spans="1:11" ht="15.5" x14ac:dyDescent="0.2">
      <c r="A82" s="403" t="s">
        <v>135</v>
      </c>
      <c r="B82" s="625" t="s">
        <v>433</v>
      </c>
      <c r="C82" s="382" t="s">
        <v>45</v>
      </c>
      <c r="D82" s="390" t="s">
        <v>0</v>
      </c>
      <c r="E82" s="754"/>
      <c r="F82" s="769">
        <v>0</v>
      </c>
      <c r="G82" s="702"/>
      <c r="H82" s="702">
        <v>0</v>
      </c>
      <c r="I82" s="702"/>
      <c r="J82" s="702">
        <v>0</v>
      </c>
      <c r="K82" s="770"/>
    </row>
    <row r="83" spans="1:11" ht="15.5" x14ac:dyDescent="0.2">
      <c r="A83" s="381"/>
      <c r="B83" s="382"/>
      <c r="C83" s="404" t="s">
        <v>130</v>
      </c>
      <c r="D83" s="390" t="s">
        <v>179</v>
      </c>
      <c r="E83" s="759"/>
      <c r="F83" s="740"/>
      <c r="G83" s="706"/>
      <c r="H83" s="706"/>
      <c r="I83" s="724" t="s">
        <v>494</v>
      </c>
      <c r="J83" s="706">
        <f>SUM(F82,H82,J82)</f>
        <v>0</v>
      </c>
      <c r="K83" s="719"/>
    </row>
    <row r="84" spans="1:11" ht="15.5" x14ac:dyDescent="0.2">
      <c r="A84" s="405"/>
      <c r="B84" s="382"/>
      <c r="C84" s="382" t="s">
        <v>131</v>
      </c>
      <c r="D84" s="390" t="s">
        <v>132</v>
      </c>
      <c r="E84" s="754"/>
      <c r="F84" s="740"/>
      <c r="G84" s="706"/>
      <c r="H84" s="706"/>
      <c r="I84" s="724" t="s">
        <v>493</v>
      </c>
      <c r="J84" s="706">
        <f>1-J83</f>
        <v>1</v>
      </c>
      <c r="K84" s="719"/>
    </row>
    <row r="85" spans="1:11" ht="15.5" x14ac:dyDescent="0.2">
      <c r="A85" s="403" t="s">
        <v>136</v>
      </c>
      <c r="B85" s="625" t="s">
        <v>433</v>
      </c>
      <c r="C85" s="382" t="s">
        <v>45</v>
      </c>
      <c r="D85" s="390" t="s">
        <v>0</v>
      </c>
      <c r="E85" s="754"/>
      <c r="F85" s="769">
        <v>0</v>
      </c>
      <c r="G85" s="702"/>
      <c r="H85" s="702">
        <v>0</v>
      </c>
      <c r="I85" s="702"/>
      <c r="J85" s="702">
        <v>0</v>
      </c>
      <c r="K85" s="770"/>
    </row>
    <row r="86" spans="1:11" ht="15.5" x14ac:dyDescent="0.2">
      <c r="A86" s="381"/>
      <c r="B86" s="382"/>
      <c r="C86" s="404" t="s">
        <v>130</v>
      </c>
      <c r="D86" s="390" t="s">
        <v>179</v>
      </c>
      <c r="E86" s="759"/>
      <c r="F86" s="740"/>
      <c r="G86" s="706"/>
      <c r="H86" s="706"/>
      <c r="I86" s="724" t="s">
        <v>494</v>
      </c>
      <c r="J86" s="706">
        <f>SUM(F85,H85,J85)</f>
        <v>0</v>
      </c>
      <c r="K86" s="719"/>
    </row>
    <row r="87" spans="1:11" ht="15.5" x14ac:dyDescent="0.2">
      <c r="A87" s="405"/>
      <c r="B87" s="382"/>
      <c r="C87" s="382" t="s">
        <v>131</v>
      </c>
      <c r="D87" s="390" t="s">
        <v>132</v>
      </c>
      <c r="E87" s="754"/>
      <c r="F87" s="740"/>
      <c r="G87" s="706"/>
      <c r="H87" s="706"/>
      <c r="I87" s="724" t="s">
        <v>493</v>
      </c>
      <c r="J87" s="706">
        <f>1-J86</f>
        <v>1</v>
      </c>
      <c r="K87" s="719"/>
    </row>
    <row r="88" spans="1:11" ht="15.5" x14ac:dyDescent="0.2">
      <c r="A88" s="403" t="s">
        <v>137</v>
      </c>
      <c r="B88" s="625" t="s">
        <v>433</v>
      </c>
      <c r="C88" s="382" t="s">
        <v>45</v>
      </c>
      <c r="D88" s="390" t="s">
        <v>0</v>
      </c>
      <c r="E88" s="754"/>
      <c r="F88" s="769">
        <v>0</v>
      </c>
      <c r="G88" s="702"/>
      <c r="H88" s="702">
        <v>0</v>
      </c>
      <c r="I88" s="702"/>
      <c r="J88" s="702">
        <v>0</v>
      </c>
      <c r="K88" s="770"/>
    </row>
    <row r="89" spans="1:11" ht="15.5" x14ac:dyDescent="0.2">
      <c r="A89" s="381"/>
      <c r="B89" s="382"/>
      <c r="C89" s="404" t="s">
        <v>130</v>
      </c>
      <c r="D89" s="390" t="s">
        <v>179</v>
      </c>
      <c r="E89" s="759"/>
      <c r="F89" s="740"/>
      <c r="G89" s="706"/>
      <c r="H89" s="706"/>
      <c r="I89" s="724" t="s">
        <v>494</v>
      </c>
      <c r="J89" s="706">
        <f>SUM(F88,H88,J88)</f>
        <v>0</v>
      </c>
      <c r="K89" s="719"/>
    </row>
    <row r="90" spans="1:11" ht="15.5" x14ac:dyDescent="0.2">
      <c r="A90" s="405"/>
      <c r="B90" s="382"/>
      <c r="C90" s="382" t="s">
        <v>131</v>
      </c>
      <c r="D90" s="390" t="s">
        <v>132</v>
      </c>
      <c r="E90" s="754"/>
      <c r="F90" s="740"/>
      <c r="G90" s="706"/>
      <c r="H90" s="706"/>
      <c r="I90" s="724" t="s">
        <v>493</v>
      </c>
      <c r="J90" s="706">
        <f>1-J89</f>
        <v>1</v>
      </c>
      <c r="K90" s="719"/>
    </row>
    <row r="91" spans="1:11" ht="15.5" x14ac:dyDescent="0.2">
      <c r="A91" s="403" t="s">
        <v>138</v>
      </c>
      <c r="B91" s="625" t="s">
        <v>433</v>
      </c>
      <c r="C91" s="382" t="s">
        <v>45</v>
      </c>
      <c r="D91" s="390" t="s">
        <v>0</v>
      </c>
      <c r="E91" s="754"/>
      <c r="F91" s="769">
        <v>0</v>
      </c>
      <c r="G91" s="702"/>
      <c r="H91" s="702">
        <v>0</v>
      </c>
      <c r="I91" s="702"/>
      <c r="J91" s="702">
        <v>0</v>
      </c>
      <c r="K91" s="770"/>
    </row>
    <row r="92" spans="1:11" ht="15.5" x14ac:dyDescent="0.2">
      <c r="A92" s="381"/>
      <c r="B92" s="382"/>
      <c r="C92" s="404" t="s">
        <v>130</v>
      </c>
      <c r="D92" s="390" t="s">
        <v>179</v>
      </c>
      <c r="E92" s="759"/>
      <c r="F92" s="740"/>
      <c r="G92" s="706"/>
      <c r="H92" s="706"/>
      <c r="I92" s="724" t="s">
        <v>494</v>
      </c>
      <c r="J92" s="706">
        <f>SUM(F91,H91,J91)</f>
        <v>0</v>
      </c>
      <c r="K92" s="719"/>
    </row>
    <row r="93" spans="1:11" ht="16" thickBot="1" x14ac:dyDescent="0.25">
      <c r="A93" s="405"/>
      <c r="B93" s="382"/>
      <c r="C93" s="382" t="s">
        <v>131</v>
      </c>
      <c r="D93" s="390" t="s">
        <v>132</v>
      </c>
      <c r="E93" s="754"/>
      <c r="F93" s="740"/>
      <c r="G93" s="706"/>
      <c r="H93" s="706"/>
      <c r="I93" s="724" t="s">
        <v>493</v>
      </c>
      <c r="J93" s="706">
        <f>1-J92</f>
        <v>1</v>
      </c>
      <c r="K93" s="719"/>
    </row>
    <row r="94" spans="1:11" ht="16" thickBot="1" x14ac:dyDescent="0.25">
      <c r="A94" s="406" t="s">
        <v>139</v>
      </c>
      <c r="B94" s="407"/>
      <c r="C94" s="407"/>
      <c r="D94" s="408"/>
      <c r="E94" s="745" t="s">
        <v>362</v>
      </c>
      <c r="F94" s="786"/>
      <c r="G94" s="787"/>
      <c r="H94" s="788"/>
      <c r="I94" s="787"/>
      <c r="J94" s="788"/>
      <c r="K94" s="789"/>
    </row>
    <row r="95" spans="1:11" ht="15.5" x14ac:dyDescent="0.2">
      <c r="A95" s="403" t="s">
        <v>140</v>
      </c>
      <c r="B95" s="647" t="s">
        <v>496</v>
      </c>
      <c r="C95" s="382" t="s">
        <v>142</v>
      </c>
      <c r="D95" s="390" t="s">
        <v>0</v>
      </c>
      <c r="E95" s="754">
        <f>入門編_計算シート!K48*1000000</f>
        <v>0</v>
      </c>
      <c r="F95" s="740"/>
      <c r="G95" s="706"/>
      <c r="H95" s="706"/>
      <c r="I95" s="706"/>
      <c r="J95" s="706"/>
      <c r="K95" s="719"/>
    </row>
    <row r="96" spans="1:11" ht="15.5" x14ac:dyDescent="0.2">
      <c r="A96" s="381" t="s">
        <v>141</v>
      </c>
      <c r="B96" s="647" t="s">
        <v>619</v>
      </c>
      <c r="C96" s="382" t="s">
        <v>142</v>
      </c>
      <c r="D96" s="390" t="s">
        <v>0</v>
      </c>
      <c r="E96" s="754">
        <f>入門編_計算シート!K49*1000000</f>
        <v>1000000000</v>
      </c>
      <c r="F96" s="741"/>
      <c r="G96" s="707"/>
      <c r="H96" s="707"/>
      <c r="I96" s="707"/>
      <c r="J96" s="707"/>
      <c r="K96" s="720"/>
    </row>
    <row r="97" spans="1:11" ht="15.5" x14ac:dyDescent="0.2">
      <c r="A97" s="405"/>
      <c r="B97" s="379"/>
      <c r="C97" s="379" t="s">
        <v>143</v>
      </c>
      <c r="D97" s="380" t="s">
        <v>145</v>
      </c>
      <c r="E97" s="754">
        <f>入門編_計算シート!K51</f>
        <v>20</v>
      </c>
      <c r="F97" s="740"/>
      <c r="G97" s="706"/>
      <c r="H97" s="706"/>
      <c r="I97" s="706"/>
      <c r="J97" s="706"/>
      <c r="K97" s="719"/>
    </row>
    <row r="98" spans="1:11" ht="15.5" x14ac:dyDescent="0.2">
      <c r="A98" s="405"/>
      <c r="B98" s="382"/>
      <c r="C98" s="382" t="s">
        <v>144</v>
      </c>
      <c r="D98" s="390" t="s">
        <v>180</v>
      </c>
      <c r="E98" s="759">
        <f>入門編_計算シート!K50</f>
        <v>0.01</v>
      </c>
      <c r="F98" s="741"/>
      <c r="G98" s="707"/>
      <c r="H98" s="707"/>
      <c r="I98" s="707"/>
      <c r="J98" s="707"/>
      <c r="K98" s="720"/>
    </row>
    <row r="99" spans="1:11" ht="15.5" x14ac:dyDescent="0.2">
      <c r="A99" s="381" t="s">
        <v>146</v>
      </c>
      <c r="B99" s="647" t="s">
        <v>620</v>
      </c>
      <c r="C99" s="382" t="s">
        <v>142</v>
      </c>
      <c r="D99" s="390" t="s">
        <v>0</v>
      </c>
      <c r="E99" s="754">
        <f>入門編_計算シート!K52*1000000</f>
        <v>0</v>
      </c>
      <c r="F99" s="740"/>
      <c r="G99" s="706"/>
      <c r="H99" s="706"/>
      <c r="I99" s="706"/>
      <c r="J99" s="706"/>
      <c r="K99" s="719"/>
    </row>
    <row r="100" spans="1:11" ht="15.5" x14ac:dyDescent="0.2">
      <c r="A100" s="405"/>
      <c r="B100" s="379"/>
      <c r="C100" s="379" t="s">
        <v>143</v>
      </c>
      <c r="D100" s="380" t="s">
        <v>145</v>
      </c>
      <c r="E100" s="754">
        <f>入門編_計算シート!K54</f>
        <v>20</v>
      </c>
      <c r="F100" s="741"/>
      <c r="G100" s="707"/>
      <c r="H100" s="707"/>
      <c r="I100" s="707"/>
      <c r="J100" s="707"/>
      <c r="K100" s="720"/>
    </row>
    <row r="101" spans="1:11" ht="15.5" x14ac:dyDescent="0.2">
      <c r="A101" s="405"/>
      <c r="B101" s="382"/>
      <c r="C101" s="382" t="s">
        <v>144</v>
      </c>
      <c r="D101" s="390" t="s">
        <v>180</v>
      </c>
      <c r="E101" s="759">
        <f>入門編_計算シート!K53</f>
        <v>0.01</v>
      </c>
      <c r="F101" s="740"/>
      <c r="G101" s="706"/>
      <c r="H101" s="706"/>
      <c r="I101" s="706"/>
      <c r="J101" s="706"/>
      <c r="K101" s="719"/>
    </row>
    <row r="102" spans="1:11" ht="15.5" x14ac:dyDescent="0.2">
      <c r="A102" s="381" t="s">
        <v>147</v>
      </c>
      <c r="B102" s="647" t="s">
        <v>417</v>
      </c>
      <c r="C102" s="382" t="s">
        <v>142</v>
      </c>
      <c r="D102" s="390" t="s">
        <v>0</v>
      </c>
      <c r="E102" s="754"/>
      <c r="F102" s="741"/>
      <c r="G102" s="707"/>
      <c r="H102" s="707"/>
      <c r="I102" s="707"/>
      <c r="J102" s="707"/>
      <c r="K102" s="720"/>
    </row>
    <row r="103" spans="1:11" ht="15.5" x14ac:dyDescent="0.2">
      <c r="A103" s="405"/>
      <c r="B103" s="379"/>
      <c r="C103" s="379" t="s">
        <v>143</v>
      </c>
      <c r="D103" s="380" t="s">
        <v>145</v>
      </c>
      <c r="E103" s="754"/>
      <c r="F103" s="740"/>
      <c r="G103" s="706"/>
      <c r="H103" s="706"/>
      <c r="I103" s="706"/>
      <c r="J103" s="706"/>
      <c r="K103" s="719"/>
    </row>
    <row r="104" spans="1:11" ht="15.5" x14ac:dyDescent="0.2">
      <c r="A104" s="405"/>
      <c r="B104" s="382"/>
      <c r="C104" s="382" t="s">
        <v>144</v>
      </c>
      <c r="D104" s="390" t="s">
        <v>180</v>
      </c>
      <c r="E104" s="759"/>
      <c r="F104" s="741"/>
      <c r="G104" s="707"/>
      <c r="H104" s="707"/>
      <c r="I104" s="707"/>
      <c r="J104" s="707"/>
      <c r="K104" s="720"/>
    </row>
    <row r="105" spans="1:11" ht="15.5" x14ac:dyDescent="0.2">
      <c r="A105" s="381" t="s">
        <v>148</v>
      </c>
      <c r="B105" s="382"/>
      <c r="C105" s="382" t="s">
        <v>149</v>
      </c>
      <c r="D105" s="409" t="s">
        <v>181</v>
      </c>
      <c r="E105" s="738">
        <v>1.4E-2</v>
      </c>
      <c r="F105" s="740"/>
      <c r="G105" s="706"/>
      <c r="H105" s="706"/>
      <c r="I105" s="706"/>
      <c r="J105" s="706"/>
      <c r="K105" s="719"/>
    </row>
    <row r="106" spans="1:11" ht="16" thickBot="1" x14ac:dyDescent="0.25">
      <c r="A106" s="410" t="s">
        <v>182</v>
      </c>
      <c r="B106" s="411"/>
      <c r="C106" s="412" t="s">
        <v>149</v>
      </c>
      <c r="D106" s="413" t="s">
        <v>179</v>
      </c>
      <c r="E106" s="739">
        <v>0.3</v>
      </c>
      <c r="F106" s="742"/>
      <c r="G106" s="743"/>
      <c r="H106" s="743"/>
      <c r="I106" s="743"/>
      <c r="J106" s="743"/>
      <c r="K106" s="744"/>
    </row>
    <row r="108" spans="1:11" x14ac:dyDescent="0.2">
      <c r="A108" s="606"/>
    </row>
    <row r="109" spans="1:11" x14ac:dyDescent="0.2">
      <c r="A109" s="606"/>
    </row>
    <row r="110" spans="1:11" x14ac:dyDescent="0.2">
      <c r="A110" s="606"/>
    </row>
    <row r="189" spans="6:7" x14ac:dyDescent="0.2">
      <c r="F189" s="418"/>
      <c r="G189" s="418"/>
    </row>
    <row r="190" spans="6:7" x14ac:dyDescent="0.2">
      <c r="F190" s="418"/>
      <c r="G190" s="418"/>
    </row>
    <row r="191" spans="6:7" x14ac:dyDescent="0.2">
      <c r="F191" s="418"/>
      <c r="G191" s="418"/>
    </row>
  </sheetData>
  <sheetProtection password="B437" sheet="1" objects="1" scenarios="1"/>
  <mergeCells count="1">
    <mergeCell ref="F4:K4"/>
  </mergeCells>
  <phoneticPr fontId="4"/>
  <dataValidations count="1">
    <dataValidation type="list" allowBlank="1" showInputMessage="1" showErrorMessage="1" sqref="E4">
      <formula1>$M$4:$M$5</formula1>
    </dataValidation>
  </dataValidations>
  <pageMargins left="0.7" right="0.7" top="0.75" bottom="0.75" header="0.3" footer="0.3"/>
  <pageSetup paperSize="8" scale="63"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47"/>
  <sheetViews>
    <sheetView workbookViewId="0">
      <selection activeCell="B71" sqref="B64:B71"/>
    </sheetView>
  </sheetViews>
  <sheetFormatPr defaultRowHeight="13" x14ac:dyDescent="0.2"/>
  <cols>
    <col min="1" max="1" width="49" customWidth="1"/>
    <col min="2" max="3" width="27.08984375" customWidth="1"/>
    <col min="4" max="4" width="161.26953125" customWidth="1"/>
    <col min="6" max="6" width="10.453125" customWidth="1"/>
    <col min="7" max="7" width="37.08984375" customWidth="1"/>
  </cols>
  <sheetData>
    <row r="1" spans="1:4" x14ac:dyDescent="0.2">
      <c r="A1" t="s">
        <v>774</v>
      </c>
    </row>
    <row r="2" spans="1:4" x14ac:dyDescent="0.2">
      <c r="A2" s="1003" t="s">
        <v>775</v>
      </c>
      <c r="B2" s="1003" t="s">
        <v>776</v>
      </c>
      <c r="C2" s="1003" t="s">
        <v>777</v>
      </c>
      <c r="D2" s="1003" t="s">
        <v>874</v>
      </c>
    </row>
    <row r="3" spans="1:4" x14ac:dyDescent="0.2">
      <c r="A3" s="567" t="s">
        <v>212</v>
      </c>
      <c r="B3" s="994">
        <v>0.14221302433479238</v>
      </c>
      <c r="C3" s="994">
        <v>4.4369014024263048E-2</v>
      </c>
      <c r="D3" s="994" t="s">
        <v>905</v>
      </c>
    </row>
    <row r="4" spans="1:4" x14ac:dyDescent="0.2">
      <c r="A4" s="567" t="s">
        <v>778</v>
      </c>
      <c r="B4" s="994">
        <v>7.1283677647807367E-2</v>
      </c>
      <c r="C4" s="994">
        <v>3.442425397352622E-2</v>
      </c>
      <c r="D4" s="994" t="s">
        <v>906</v>
      </c>
    </row>
    <row r="5" spans="1:4" x14ac:dyDescent="0.2">
      <c r="A5" s="567" t="s">
        <v>858</v>
      </c>
      <c r="B5" s="994">
        <v>0.17252476139591646</v>
      </c>
      <c r="C5" s="994">
        <v>6.9791021722163962E-2</v>
      </c>
      <c r="D5" s="994" t="s">
        <v>907</v>
      </c>
    </row>
    <row r="6" spans="1:4" x14ac:dyDescent="0.2">
      <c r="A6" s="567" t="s">
        <v>779</v>
      </c>
      <c r="B6" s="994">
        <v>0.14903496297069016</v>
      </c>
      <c r="C6" s="994">
        <v>7.0383778886391454E-2</v>
      </c>
      <c r="D6" s="994" t="s">
        <v>908</v>
      </c>
    </row>
    <row r="7" spans="1:4" x14ac:dyDescent="0.2">
      <c r="A7" s="567" t="s">
        <v>780</v>
      </c>
      <c r="B7" s="994">
        <v>0.13838102225927898</v>
      </c>
      <c r="C7" s="994">
        <v>7.5913509722141975E-2</v>
      </c>
      <c r="D7" s="1122" t="s">
        <v>909</v>
      </c>
    </row>
    <row r="8" spans="1:4" x14ac:dyDescent="0.2">
      <c r="A8" s="567" t="s">
        <v>781</v>
      </c>
      <c r="B8" s="994">
        <v>0.132075664954309</v>
      </c>
      <c r="C8" s="994">
        <v>6.237098616273893E-2</v>
      </c>
      <c r="D8" s="1122" t="s">
        <v>910</v>
      </c>
    </row>
    <row r="9" spans="1:4" x14ac:dyDescent="0.2">
      <c r="A9" s="567" t="s">
        <v>782</v>
      </c>
      <c r="B9" s="994">
        <v>0.13465813162407547</v>
      </c>
      <c r="C9" s="994">
        <v>6.1330365034472445E-3</v>
      </c>
      <c r="D9" s="994" t="s">
        <v>911</v>
      </c>
    </row>
    <row r="10" spans="1:4" x14ac:dyDescent="0.2">
      <c r="A10" s="567" t="s">
        <v>217</v>
      </c>
      <c r="B10" s="994">
        <v>0.1</v>
      </c>
      <c r="C10" s="994">
        <v>0.1</v>
      </c>
      <c r="D10" s="994" t="s">
        <v>912</v>
      </c>
    </row>
    <row r="11" spans="1:4" x14ac:dyDescent="0.2">
      <c r="A11" s="567" t="s">
        <v>783</v>
      </c>
      <c r="B11" s="994">
        <v>0</v>
      </c>
      <c r="C11" s="994">
        <v>0</v>
      </c>
      <c r="D11" s="994"/>
    </row>
    <row r="12" spans="1:4" x14ac:dyDescent="0.2">
      <c r="A12" s="567" t="s">
        <v>784</v>
      </c>
      <c r="B12" s="994">
        <v>0</v>
      </c>
      <c r="C12" s="994">
        <v>0</v>
      </c>
      <c r="D12" s="994"/>
    </row>
    <row r="13" spans="1:4" x14ac:dyDescent="0.2">
      <c r="A13" s="567" t="s">
        <v>785</v>
      </c>
      <c r="B13" s="994">
        <v>0</v>
      </c>
      <c r="C13" s="994">
        <v>0</v>
      </c>
      <c r="D13" s="994"/>
    </row>
    <row r="14" spans="1:4" x14ac:dyDescent="0.2">
      <c r="A14" s="567" t="s">
        <v>786</v>
      </c>
      <c r="B14" s="994">
        <v>0</v>
      </c>
      <c r="C14" s="994">
        <v>0</v>
      </c>
      <c r="D14" s="994"/>
    </row>
    <row r="15" spans="1:4" x14ac:dyDescent="0.2">
      <c r="A15" s="567" t="s">
        <v>787</v>
      </c>
      <c r="B15" s="994">
        <v>0</v>
      </c>
      <c r="C15" s="994">
        <v>0</v>
      </c>
      <c r="D15" s="994"/>
    </row>
    <row r="16" spans="1:4" x14ac:dyDescent="0.2">
      <c r="A16" s="567" t="s">
        <v>788</v>
      </c>
      <c r="B16" s="994">
        <v>0</v>
      </c>
      <c r="C16" s="994">
        <v>0</v>
      </c>
      <c r="D16" s="994"/>
    </row>
    <row r="17" spans="1:4" x14ac:dyDescent="0.2">
      <c r="A17" s="1003" t="s">
        <v>789</v>
      </c>
      <c r="B17" s="1003" t="s">
        <v>776</v>
      </c>
      <c r="C17" s="1003" t="s">
        <v>777</v>
      </c>
      <c r="D17" s="1003"/>
    </row>
    <row r="18" spans="1:4" x14ac:dyDescent="0.2">
      <c r="A18" s="567" t="s">
        <v>235</v>
      </c>
      <c r="B18" s="994">
        <v>0.16547260287152596</v>
      </c>
      <c r="C18" s="994">
        <v>4.0577235530887608E-2</v>
      </c>
      <c r="D18" s="567" t="s">
        <v>235</v>
      </c>
    </row>
    <row r="19" spans="1:4" x14ac:dyDescent="0.2">
      <c r="A19" s="567" t="s">
        <v>790</v>
      </c>
      <c r="B19" s="994">
        <v>0.10813308614487885</v>
      </c>
      <c r="C19" s="994">
        <v>4.1608061114322949E-2</v>
      </c>
      <c r="D19" s="994" t="s">
        <v>913</v>
      </c>
    </row>
    <row r="20" spans="1:4" x14ac:dyDescent="0.2">
      <c r="A20" s="567" t="s">
        <v>791</v>
      </c>
      <c r="B20" s="994">
        <v>0.16300748186935951</v>
      </c>
      <c r="C20" s="994">
        <v>3.0852238719835626E-2</v>
      </c>
      <c r="D20" s="994" t="s">
        <v>914</v>
      </c>
    </row>
    <row r="21" spans="1:4" x14ac:dyDescent="0.2">
      <c r="A21" s="567" t="s">
        <v>792</v>
      </c>
      <c r="B21" s="994">
        <v>0.12683589712703439</v>
      </c>
      <c r="C21" s="994">
        <v>3.0041807341910372E-2</v>
      </c>
      <c r="D21" s="994" t="s">
        <v>792</v>
      </c>
    </row>
    <row r="22" spans="1:4" x14ac:dyDescent="0.2">
      <c r="A22" s="567" t="s">
        <v>793</v>
      </c>
      <c r="B22" s="994">
        <v>0.1106854732276378</v>
      </c>
      <c r="C22" s="994">
        <v>2.4142481175397298E-2</v>
      </c>
      <c r="D22" s="994" t="s">
        <v>915</v>
      </c>
    </row>
    <row r="23" spans="1:4" x14ac:dyDescent="0.2">
      <c r="A23" s="567" t="s">
        <v>794</v>
      </c>
      <c r="B23" s="994">
        <v>0.1</v>
      </c>
      <c r="C23" s="994">
        <v>0.1</v>
      </c>
      <c r="D23" s="994" t="s">
        <v>916</v>
      </c>
    </row>
    <row r="24" spans="1:4" x14ac:dyDescent="0.2">
      <c r="A24" s="567" t="s">
        <v>795</v>
      </c>
      <c r="B24" s="994">
        <v>0.1</v>
      </c>
      <c r="C24" s="994">
        <v>0.1</v>
      </c>
      <c r="D24" s="994"/>
    </row>
    <row r="25" spans="1:4" x14ac:dyDescent="0.2">
      <c r="A25" s="567" t="s">
        <v>796</v>
      </c>
      <c r="B25" s="994">
        <v>0.1</v>
      </c>
      <c r="C25" s="994">
        <v>0.1</v>
      </c>
      <c r="D25" s="994"/>
    </row>
    <row r="26" spans="1:4" x14ac:dyDescent="0.2">
      <c r="A26" s="567" t="s">
        <v>797</v>
      </c>
      <c r="B26" s="994">
        <v>0.1</v>
      </c>
      <c r="C26" s="994">
        <v>0.1</v>
      </c>
      <c r="D26" s="994"/>
    </row>
    <row r="27" spans="1:4" x14ac:dyDescent="0.2">
      <c r="A27" s="567" t="s">
        <v>798</v>
      </c>
      <c r="B27" s="994">
        <v>0.1</v>
      </c>
      <c r="C27" s="994">
        <v>0.1</v>
      </c>
      <c r="D27" s="994"/>
    </row>
    <row r="28" spans="1:4" x14ac:dyDescent="0.2">
      <c r="A28" s="1003" t="s">
        <v>799</v>
      </c>
      <c r="B28" s="1003" t="s">
        <v>776</v>
      </c>
      <c r="C28" s="1003" t="s">
        <v>777</v>
      </c>
      <c r="D28" s="1003"/>
    </row>
    <row r="29" spans="1:4" x14ac:dyDescent="0.2">
      <c r="A29" s="567" t="s">
        <v>800</v>
      </c>
      <c r="B29" s="994">
        <v>0.10209490259901956</v>
      </c>
      <c r="C29" s="994">
        <v>9.5881559265928021E-2</v>
      </c>
      <c r="D29" s="994" t="s">
        <v>917</v>
      </c>
    </row>
    <row r="30" spans="1:4" x14ac:dyDescent="0.2">
      <c r="A30" s="567" t="s">
        <v>801</v>
      </c>
      <c r="B30" s="994">
        <v>1.6932063472964078E-2</v>
      </c>
      <c r="C30" s="994">
        <v>9.028076765678926E-3</v>
      </c>
      <c r="D30" s="994" t="s">
        <v>918</v>
      </c>
    </row>
    <row r="31" spans="1:4" x14ac:dyDescent="0.2">
      <c r="A31" s="567" t="s">
        <v>234</v>
      </c>
      <c r="B31" s="994">
        <v>4.2050850117304694E-2</v>
      </c>
      <c r="C31" s="994">
        <v>3.6704672213648766E-2</v>
      </c>
      <c r="D31" s="994" t="s">
        <v>234</v>
      </c>
    </row>
    <row r="32" spans="1:4" x14ac:dyDescent="0.2">
      <c r="A32" s="567" t="s">
        <v>802</v>
      </c>
      <c r="B32" s="994">
        <v>6.2625321926289446E-2</v>
      </c>
      <c r="C32" s="994">
        <v>5.7663647175902714E-2</v>
      </c>
      <c r="D32" s="994" t="s">
        <v>919</v>
      </c>
    </row>
    <row r="33" spans="1:4" x14ac:dyDescent="0.2">
      <c r="A33" s="567" t="s">
        <v>803</v>
      </c>
      <c r="B33" s="994">
        <v>0.16310515345804943</v>
      </c>
      <c r="C33" s="994">
        <v>9.7194520251722677E-2</v>
      </c>
      <c r="D33" s="994" t="s">
        <v>920</v>
      </c>
    </row>
    <row r="34" spans="1:4" x14ac:dyDescent="0.2">
      <c r="A34" s="567" t="s">
        <v>236</v>
      </c>
      <c r="B34" s="994">
        <v>0.24610566616589147</v>
      </c>
      <c r="C34" s="994">
        <v>5.9205847269164294E-2</v>
      </c>
      <c r="D34" s="994" t="s">
        <v>921</v>
      </c>
    </row>
    <row r="35" spans="1:4" x14ac:dyDescent="0.2">
      <c r="A35" s="567" t="s">
        <v>217</v>
      </c>
      <c r="B35" s="994">
        <v>0.30062818405673924</v>
      </c>
      <c r="C35" s="994">
        <v>5.7538774117348222E-2</v>
      </c>
      <c r="D35" s="994" t="s">
        <v>912</v>
      </c>
    </row>
    <row r="36" spans="1:4" x14ac:dyDescent="0.2">
      <c r="A36" s="567" t="s">
        <v>804</v>
      </c>
      <c r="B36" s="994">
        <v>0.28908385946244552</v>
      </c>
      <c r="C36" s="994">
        <v>6.2262249276792296E-2</v>
      </c>
      <c r="D36" s="994" t="s">
        <v>922</v>
      </c>
    </row>
    <row r="37" spans="1:4" x14ac:dyDescent="0.2">
      <c r="A37" s="567" t="s">
        <v>237</v>
      </c>
      <c r="B37" s="994">
        <v>0.1443158214326343</v>
      </c>
      <c r="C37" s="994">
        <v>0.20150705552186263</v>
      </c>
      <c r="D37" s="994" t="s">
        <v>923</v>
      </c>
    </row>
    <row r="38" spans="1:4" x14ac:dyDescent="0.2">
      <c r="A38" s="567" t="s">
        <v>805</v>
      </c>
      <c r="B38" s="994">
        <v>7.0457715677651619E-2</v>
      </c>
      <c r="C38" s="994">
        <v>7.2376048372559371E-2</v>
      </c>
      <c r="D38" s="994" t="s">
        <v>855</v>
      </c>
    </row>
    <row r="39" spans="1:4" x14ac:dyDescent="0.2">
      <c r="A39" s="567" t="s">
        <v>806</v>
      </c>
      <c r="B39" s="994">
        <v>0.11348852088709617</v>
      </c>
      <c r="C39" s="994">
        <v>0.13025805009981886</v>
      </c>
      <c r="D39" s="994" t="s">
        <v>924</v>
      </c>
    </row>
    <row r="40" spans="1:4" x14ac:dyDescent="0.2">
      <c r="A40" s="567" t="s">
        <v>807</v>
      </c>
      <c r="B40" s="302">
        <v>0</v>
      </c>
      <c r="C40" s="302">
        <v>0</v>
      </c>
      <c r="D40" s="302"/>
    </row>
    <row r="41" spans="1:4" x14ac:dyDescent="0.2">
      <c r="A41" s="567" t="s">
        <v>808</v>
      </c>
      <c r="B41" s="302">
        <v>0</v>
      </c>
      <c r="C41" s="302">
        <v>0</v>
      </c>
      <c r="D41" s="302"/>
    </row>
    <row r="42" spans="1:4" x14ac:dyDescent="0.2">
      <c r="A42" s="567" t="s">
        <v>809</v>
      </c>
      <c r="B42" s="302">
        <v>0</v>
      </c>
      <c r="C42" s="302">
        <v>0</v>
      </c>
      <c r="D42" s="302"/>
    </row>
    <row r="43" spans="1:4" x14ac:dyDescent="0.2">
      <c r="A43" s="567" t="s">
        <v>810</v>
      </c>
      <c r="B43" s="302">
        <v>0</v>
      </c>
      <c r="C43" s="302">
        <v>0</v>
      </c>
      <c r="D43" s="302"/>
    </row>
    <row r="44" spans="1:4" x14ac:dyDescent="0.2">
      <c r="A44" s="567" t="s">
        <v>811</v>
      </c>
      <c r="B44" s="302">
        <v>0</v>
      </c>
      <c r="C44" s="302">
        <v>0</v>
      </c>
      <c r="D44" s="302"/>
    </row>
    <row r="45" spans="1:4" x14ac:dyDescent="0.2">
      <c r="A45" s="567" t="s">
        <v>812</v>
      </c>
      <c r="B45" s="302">
        <v>0</v>
      </c>
      <c r="C45" s="302">
        <v>0</v>
      </c>
      <c r="D45" s="302"/>
    </row>
    <row r="46" spans="1:4" x14ac:dyDescent="0.2">
      <c r="A46" s="567" t="s">
        <v>813</v>
      </c>
      <c r="B46" s="302">
        <v>0</v>
      </c>
      <c r="C46" s="302">
        <v>0</v>
      </c>
      <c r="D46" s="302"/>
    </row>
    <row r="47" spans="1:4" x14ac:dyDescent="0.2">
      <c r="C47" s="1004" t="s">
        <v>814</v>
      </c>
    </row>
  </sheetData>
  <sheetProtection password="B437" sheet="1" objects="1" scenarios="1"/>
  <phoneticPr fontId="4"/>
  <pageMargins left="0.7" right="0.7" top="0.75" bottom="0.75" header="0.3" footer="0.3"/>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B41" sqref="B41"/>
    </sheetView>
  </sheetViews>
  <sheetFormatPr defaultRowHeight="13" x14ac:dyDescent="0.2"/>
  <cols>
    <col min="1" max="1" width="19.1796875" customWidth="1"/>
    <col min="2" max="2" width="74.08984375" customWidth="1"/>
    <col min="3" max="4" width="21.90625" customWidth="1"/>
  </cols>
  <sheetData>
    <row r="1" spans="1:4" x14ac:dyDescent="0.2">
      <c r="A1" t="s">
        <v>1010</v>
      </c>
      <c r="B1" t="s">
        <v>1011</v>
      </c>
      <c r="C1" t="s">
        <v>1012</v>
      </c>
      <c r="D1" t="s">
        <v>1013</v>
      </c>
    </row>
    <row r="2" spans="1:4" x14ac:dyDescent="0.2">
      <c r="A2" s="1237" t="s">
        <v>1014</v>
      </c>
      <c r="B2" t="s">
        <v>1015</v>
      </c>
      <c r="C2" t="s">
        <v>1017</v>
      </c>
      <c r="D2" t="s">
        <v>1016</v>
      </c>
    </row>
    <row r="3" spans="1:4" x14ac:dyDescent="0.2">
      <c r="A3" s="1237" t="s">
        <v>1014</v>
      </c>
      <c r="B3" t="s">
        <v>1020</v>
      </c>
      <c r="C3" t="s">
        <v>1017</v>
      </c>
      <c r="D3" t="s">
        <v>1019</v>
      </c>
    </row>
    <row r="4" spans="1:4" x14ac:dyDescent="0.2">
      <c r="A4" s="1304" t="s">
        <v>1143</v>
      </c>
      <c r="B4" s="562" t="s">
        <v>1144</v>
      </c>
      <c r="C4" s="562"/>
      <c r="D4" s="562"/>
    </row>
  </sheetData>
  <sheetProtection password="B437" sheet="1" objects="1" scenarios="1"/>
  <phoneticPr fontId="4"/>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4"/>
  <sheetViews>
    <sheetView workbookViewId="0"/>
  </sheetViews>
  <sheetFormatPr defaultRowHeight="13" x14ac:dyDescent="0.2"/>
  <cols>
    <col min="1" max="1" width="38.08984375" customWidth="1"/>
    <col min="2" max="2" width="14.7265625" customWidth="1"/>
    <col min="3" max="3" width="12.453125" customWidth="1"/>
    <col min="4" max="4" width="14.7265625" customWidth="1"/>
    <col min="5" max="5" width="16.36328125" customWidth="1"/>
    <col min="6" max="6" width="14.7265625" customWidth="1"/>
    <col min="7" max="7" width="24" customWidth="1"/>
    <col min="8" max="8" width="10.7265625" customWidth="1"/>
    <col min="13" max="13" width="16.08984375" customWidth="1"/>
    <col min="14" max="14" width="16.90625" bestFit="1" customWidth="1"/>
    <col min="26" max="26" width="12.90625" customWidth="1"/>
  </cols>
  <sheetData>
    <row r="1" spans="1:9" x14ac:dyDescent="0.2">
      <c r="G1" s="824" t="s">
        <v>765</v>
      </c>
      <c r="H1" s="1000">
        <f>入門編_計算シート!B23</f>
        <v>0</v>
      </c>
      <c r="I1" t="s">
        <v>768</v>
      </c>
    </row>
    <row r="2" spans="1:9" x14ac:dyDescent="0.2">
      <c r="B2" t="s">
        <v>770</v>
      </c>
      <c r="C2" t="s">
        <v>771</v>
      </c>
      <c r="D2" t="s">
        <v>534</v>
      </c>
      <c r="E2" t="s">
        <v>766</v>
      </c>
      <c r="F2" t="s">
        <v>767</v>
      </c>
      <c r="G2" s="824" t="s">
        <v>772</v>
      </c>
      <c r="H2" s="998">
        <f>H1*3.6/B12</f>
        <v>0</v>
      </c>
      <c r="I2" t="s">
        <v>769</v>
      </c>
    </row>
    <row r="3" spans="1:9" x14ac:dyDescent="0.2">
      <c r="B3" t="s">
        <v>536</v>
      </c>
      <c r="C3" t="s">
        <v>536</v>
      </c>
      <c r="D3" t="s">
        <v>535</v>
      </c>
      <c r="G3" t="s">
        <v>773</v>
      </c>
    </row>
    <row r="4" spans="1:9" x14ac:dyDescent="0.2">
      <c r="A4" t="s">
        <v>528</v>
      </c>
      <c r="B4">
        <v>0.22500000000000001</v>
      </c>
      <c r="C4">
        <v>0.92500000000000004</v>
      </c>
      <c r="D4">
        <v>550</v>
      </c>
      <c r="E4" s="797">
        <f>入力条件の変換!B4*入力条件の変換!C4*入力条件の変換!D4</f>
        <v>114.46875</v>
      </c>
      <c r="F4" s="206">
        <f>E4*$B$11</f>
        <v>4086.5343750000002</v>
      </c>
      <c r="G4" s="999">
        <f>$H$2/F4</f>
        <v>0</v>
      </c>
      <c r="H4" s="610">
        <f>G4*24</f>
        <v>0</v>
      </c>
    </row>
    <row r="5" spans="1:9" x14ac:dyDescent="0.2">
      <c r="A5" t="s">
        <v>529</v>
      </c>
      <c r="B5">
        <v>0.93</v>
      </c>
      <c r="C5">
        <v>0.96</v>
      </c>
      <c r="D5">
        <v>500</v>
      </c>
      <c r="E5" s="797">
        <f>入力条件の変換!B5*入力条件の変換!C5*入力条件の変換!D5</f>
        <v>446.40000000000003</v>
      </c>
      <c r="F5" s="206">
        <f t="shared" ref="F5:F9" si="0">E5*$B$11</f>
        <v>15936.480000000003</v>
      </c>
      <c r="G5" s="999">
        <f t="shared" ref="G5:G9" si="1">$H$2/F5</f>
        <v>0</v>
      </c>
      <c r="H5" s="610">
        <f t="shared" ref="H5:H9" si="2">G5*24</f>
        <v>0</v>
      </c>
    </row>
    <row r="6" spans="1:9" x14ac:dyDescent="0.2">
      <c r="A6" t="s">
        <v>530</v>
      </c>
      <c r="B6">
        <v>0.59</v>
      </c>
      <c r="C6">
        <v>0.9</v>
      </c>
      <c r="D6">
        <v>500</v>
      </c>
      <c r="E6" s="797">
        <f>入力条件の変換!B6*入力条件の変換!C6*入力条件の変換!D6</f>
        <v>265.5</v>
      </c>
      <c r="F6" s="206">
        <f t="shared" si="0"/>
        <v>9478.35</v>
      </c>
      <c r="G6" s="999">
        <f t="shared" si="1"/>
        <v>0</v>
      </c>
      <c r="H6" s="610">
        <f t="shared" si="2"/>
        <v>0</v>
      </c>
    </row>
    <row r="7" spans="1:9" x14ac:dyDescent="0.2">
      <c r="A7" t="s">
        <v>531</v>
      </c>
      <c r="B7">
        <v>6.5000000000000002E-2</v>
      </c>
      <c r="C7">
        <v>0.75</v>
      </c>
      <c r="D7">
        <v>700</v>
      </c>
      <c r="E7" s="797">
        <f>入力条件の変換!B7*入力条件の変換!C7*入力条件の変換!D7</f>
        <v>34.125</v>
      </c>
      <c r="F7" s="206">
        <f t="shared" si="0"/>
        <v>1218.2625</v>
      </c>
      <c r="G7" s="999">
        <f>$H$2/F7</f>
        <v>0</v>
      </c>
      <c r="H7" s="610">
        <f t="shared" si="2"/>
        <v>0</v>
      </c>
    </row>
    <row r="8" spans="1:9" x14ac:dyDescent="0.2">
      <c r="A8" t="s">
        <v>532</v>
      </c>
      <c r="B8">
        <v>0.09</v>
      </c>
      <c r="C8">
        <v>0.77500000000000002</v>
      </c>
      <c r="D8">
        <v>500</v>
      </c>
      <c r="E8" s="797">
        <f>入力条件の変換!B8*入力条件の変換!C8*入力条件の変換!D8</f>
        <v>34.874999999999993</v>
      </c>
      <c r="F8" s="1001">
        <f t="shared" si="0"/>
        <v>1245.0374999999999</v>
      </c>
      <c r="G8" s="999">
        <f t="shared" si="1"/>
        <v>0</v>
      </c>
      <c r="H8" s="610">
        <f t="shared" si="2"/>
        <v>0</v>
      </c>
    </row>
    <row r="9" spans="1:9" x14ac:dyDescent="0.2">
      <c r="A9" t="s">
        <v>533</v>
      </c>
      <c r="B9">
        <v>3.5000000000000003E-2</v>
      </c>
      <c r="C9">
        <v>0.8</v>
      </c>
      <c r="D9">
        <v>550</v>
      </c>
      <c r="E9" s="797">
        <f>入力条件の変換!B9*入力条件の変換!C9*入力条件の変換!D9</f>
        <v>15.400000000000002</v>
      </c>
      <c r="F9" s="206">
        <f t="shared" si="0"/>
        <v>549.78000000000009</v>
      </c>
      <c r="G9" s="999">
        <f t="shared" si="1"/>
        <v>0</v>
      </c>
      <c r="H9" s="610">
        <f t="shared" si="2"/>
        <v>0</v>
      </c>
    </row>
    <row r="11" spans="1:9" x14ac:dyDescent="0.2">
      <c r="A11" t="s">
        <v>555</v>
      </c>
      <c r="B11">
        <v>35.700000000000003</v>
      </c>
      <c r="C11" t="s">
        <v>556</v>
      </c>
    </row>
    <row r="12" spans="1:9" x14ac:dyDescent="0.2">
      <c r="A12" t="s">
        <v>552</v>
      </c>
      <c r="B12" s="205">
        <v>0.3</v>
      </c>
    </row>
    <row r="13" spans="1:9" x14ac:dyDescent="0.2">
      <c r="A13" t="s">
        <v>553</v>
      </c>
      <c r="B13" s="205">
        <v>0.45</v>
      </c>
    </row>
    <row r="15" spans="1:9" x14ac:dyDescent="0.2">
      <c r="A15" t="s">
        <v>542</v>
      </c>
    </row>
    <row r="16" spans="1:9" x14ac:dyDescent="0.2">
      <c r="B16" t="s">
        <v>537</v>
      </c>
      <c r="D16" t="s">
        <v>576</v>
      </c>
      <c r="G16" t="s">
        <v>539</v>
      </c>
      <c r="I16" t="s">
        <v>541</v>
      </c>
    </row>
    <row r="17" spans="1:14" x14ac:dyDescent="0.2">
      <c r="A17" t="s">
        <v>528</v>
      </c>
      <c r="B17" s="570">
        <f>入門編_計算シート!C5</f>
        <v>50</v>
      </c>
      <c r="C17" t="s">
        <v>540</v>
      </c>
      <c r="D17" s="570">
        <f>入門編_計算シート!E5</f>
        <v>14000</v>
      </c>
      <c r="E17" t="s">
        <v>316</v>
      </c>
      <c r="F17" t="s">
        <v>538</v>
      </c>
      <c r="G17" s="797">
        <f>B17*入力条件の変換!B4*入力条件の変換!C4*入力条件の変換!D4</f>
        <v>5723.4375</v>
      </c>
      <c r="H17" t="s">
        <v>543</v>
      </c>
      <c r="I17" s="796">
        <f>B17*(1-入力条件の変換!B4)</f>
        <v>38.75</v>
      </c>
      <c r="J17" t="s">
        <v>544</v>
      </c>
    </row>
    <row r="18" spans="1:14" x14ac:dyDescent="0.2">
      <c r="A18" t="s">
        <v>529</v>
      </c>
      <c r="B18" s="570">
        <f>入門編_計算シート!C6</f>
        <v>0</v>
      </c>
      <c r="C18" t="s">
        <v>540</v>
      </c>
      <c r="D18" s="570">
        <f>入門編_計算シート!E6</f>
        <v>7000</v>
      </c>
      <c r="E18" t="s">
        <v>316</v>
      </c>
      <c r="F18" t="s">
        <v>538</v>
      </c>
      <c r="G18" s="797">
        <f>B18*入力条件の変換!B5*入力条件の変換!C5*入力条件の変換!D5</f>
        <v>0</v>
      </c>
      <c r="H18" t="s">
        <v>543</v>
      </c>
      <c r="I18" s="796">
        <f>B18*(1-入力条件の変換!B5)</f>
        <v>0</v>
      </c>
      <c r="J18" t="s">
        <v>544</v>
      </c>
    </row>
    <row r="19" spans="1:14" x14ac:dyDescent="0.2">
      <c r="A19" t="s">
        <v>530</v>
      </c>
      <c r="B19" s="570">
        <f>入門編_計算シート!C7</f>
        <v>0</v>
      </c>
      <c r="C19" t="s">
        <v>540</v>
      </c>
      <c r="D19" s="570">
        <f>入門編_計算シート!E7</f>
        <v>7000</v>
      </c>
      <c r="E19" t="s">
        <v>316</v>
      </c>
      <c r="F19" t="s">
        <v>538</v>
      </c>
      <c r="G19" s="797">
        <f>B19*入力条件の変換!B6*入力条件の変換!C6*入力条件の変換!D6</f>
        <v>0</v>
      </c>
      <c r="H19" t="s">
        <v>543</v>
      </c>
      <c r="I19" s="796">
        <f>B19*(1-入力条件の変換!B6)</f>
        <v>0</v>
      </c>
      <c r="J19" t="s">
        <v>544</v>
      </c>
    </row>
    <row r="20" spans="1:14" x14ac:dyDescent="0.2">
      <c r="A20" t="s">
        <v>531</v>
      </c>
      <c r="B20" s="570">
        <f>入門編_計算シート!C8</f>
        <v>0</v>
      </c>
      <c r="C20" t="s">
        <v>540</v>
      </c>
      <c r="D20" s="570">
        <f>入門編_計算シート!E8</f>
        <v>2000</v>
      </c>
      <c r="E20" t="s">
        <v>316</v>
      </c>
      <c r="F20" t="s">
        <v>538</v>
      </c>
      <c r="G20" s="797">
        <f>B20*入力条件の変換!B7*入力条件の変換!C7*入力条件の変換!D7</f>
        <v>0</v>
      </c>
      <c r="H20" t="s">
        <v>543</v>
      </c>
      <c r="I20" s="796">
        <f>B20*(1-入力条件の変換!B7)</f>
        <v>0</v>
      </c>
      <c r="J20" t="s">
        <v>544</v>
      </c>
    </row>
    <row r="21" spans="1:14" x14ac:dyDescent="0.2">
      <c r="A21" t="s">
        <v>532</v>
      </c>
      <c r="B21" s="570">
        <f>入門編_計算シート!C9</f>
        <v>0</v>
      </c>
      <c r="C21" t="s">
        <v>540</v>
      </c>
      <c r="D21" s="570">
        <f>入門編_計算シート!E9</f>
        <v>2000</v>
      </c>
      <c r="E21" t="s">
        <v>316</v>
      </c>
      <c r="F21" t="s">
        <v>538</v>
      </c>
      <c r="G21" s="797">
        <f>B21*入力条件の変換!B8*入力条件の変換!C8*入力条件の変換!D8</f>
        <v>0</v>
      </c>
      <c r="H21" t="s">
        <v>543</v>
      </c>
      <c r="I21" s="796">
        <f>B21*(1-入力条件の変換!B8)</f>
        <v>0</v>
      </c>
      <c r="J21" t="s">
        <v>544</v>
      </c>
    </row>
    <row r="22" spans="1:14" x14ac:dyDescent="0.2">
      <c r="A22" t="s">
        <v>533</v>
      </c>
      <c r="B22" s="570">
        <f>入門編_計算シート!C10</f>
        <v>0</v>
      </c>
      <c r="C22" t="s">
        <v>540</v>
      </c>
      <c r="D22" s="570">
        <f>入門編_計算シート!E10</f>
        <v>12000</v>
      </c>
      <c r="E22" t="s">
        <v>316</v>
      </c>
      <c r="F22" t="s">
        <v>538</v>
      </c>
      <c r="G22" s="797">
        <f>B22*入力条件の変換!B9*入力条件の変換!C9*入力条件の変換!D9</f>
        <v>0</v>
      </c>
      <c r="H22" t="s">
        <v>543</v>
      </c>
      <c r="I22" s="796">
        <f>B22*(1-入力条件の変換!B9)</f>
        <v>0</v>
      </c>
      <c r="J22" t="s">
        <v>544</v>
      </c>
    </row>
    <row r="23" spans="1:14" x14ac:dyDescent="0.2">
      <c r="A23" t="s">
        <v>69</v>
      </c>
      <c r="B23">
        <f>SUM(B17:B22)</f>
        <v>50</v>
      </c>
      <c r="C23" t="s">
        <v>540</v>
      </c>
      <c r="G23" s="796">
        <f>SUM(G17:G22)</f>
        <v>5723.4375</v>
      </c>
      <c r="H23" t="s">
        <v>543</v>
      </c>
      <c r="I23" s="796">
        <f>SUM(I17:I22)</f>
        <v>38.75</v>
      </c>
      <c r="J23" t="s">
        <v>544</v>
      </c>
    </row>
    <row r="24" spans="1:14" x14ac:dyDescent="0.2">
      <c r="A24" t="s">
        <v>897</v>
      </c>
    </row>
    <row r="25" spans="1:14" x14ac:dyDescent="0.2">
      <c r="A25" t="s">
        <v>706</v>
      </c>
      <c r="G25" t="s">
        <v>547</v>
      </c>
      <c r="L25" t="s">
        <v>557</v>
      </c>
      <c r="M25" t="s">
        <v>558</v>
      </c>
      <c r="N25" t="s">
        <v>560</v>
      </c>
    </row>
    <row r="26" spans="1:14" x14ac:dyDescent="0.2">
      <c r="G26" t="s">
        <v>545</v>
      </c>
      <c r="I26" s="601">
        <f>I23/B23</f>
        <v>0.77500000000000002</v>
      </c>
      <c r="M26" t="s">
        <v>559</v>
      </c>
      <c r="N26" t="s">
        <v>561</v>
      </c>
    </row>
    <row r="27" spans="1:14" x14ac:dyDescent="0.2">
      <c r="G27" t="s">
        <v>548</v>
      </c>
      <c r="I27">
        <f>G23/B23</f>
        <v>114.46875</v>
      </c>
      <c r="J27" t="s">
        <v>546</v>
      </c>
    </row>
    <row r="29" spans="1:14" x14ac:dyDescent="0.2">
      <c r="A29" t="s">
        <v>549</v>
      </c>
    </row>
    <row r="30" spans="1:14" x14ac:dyDescent="0.2">
      <c r="A30" t="s">
        <v>550</v>
      </c>
      <c r="B30" s="206">
        <f>G23/24*B11</f>
        <v>8513.61328125</v>
      </c>
      <c r="C30" t="s">
        <v>253</v>
      </c>
    </row>
    <row r="31" spans="1:14" x14ac:dyDescent="0.2">
      <c r="A31" t="s">
        <v>551</v>
      </c>
      <c r="B31" s="206">
        <f>B30*B12/3.6</f>
        <v>709.4677734375</v>
      </c>
      <c r="C31" t="s">
        <v>520</v>
      </c>
    </row>
    <row r="32" spans="1:14" x14ac:dyDescent="0.2">
      <c r="A32" t="s">
        <v>554</v>
      </c>
      <c r="B32" s="206">
        <f>B30*B13</f>
        <v>3831.1259765625</v>
      </c>
      <c r="C32" t="s">
        <v>253</v>
      </c>
    </row>
    <row r="34" spans="1:50" x14ac:dyDescent="0.2">
      <c r="A34" t="s">
        <v>569</v>
      </c>
    </row>
    <row r="35" spans="1:50" x14ac:dyDescent="0.2">
      <c r="A35" t="s">
        <v>562</v>
      </c>
      <c r="B35">
        <f>B23</f>
        <v>50</v>
      </c>
      <c r="C35" t="s">
        <v>168</v>
      </c>
    </row>
    <row r="36" spans="1:50" x14ac:dyDescent="0.2">
      <c r="A36" t="s">
        <v>563</v>
      </c>
      <c r="B36" s="610">
        <f>MAX((B23-I23)/0.1-B23,0)</f>
        <v>62.5</v>
      </c>
      <c r="C36" t="s">
        <v>168</v>
      </c>
      <c r="D36" t="s">
        <v>564</v>
      </c>
    </row>
    <row r="37" spans="1:50" x14ac:dyDescent="0.2">
      <c r="A37" t="s">
        <v>571</v>
      </c>
      <c r="B37" s="610">
        <f>B35+B36</f>
        <v>112.5</v>
      </c>
      <c r="C37" t="s">
        <v>168</v>
      </c>
    </row>
    <row r="38" spans="1:50" x14ac:dyDescent="0.2">
      <c r="A38" t="s">
        <v>567</v>
      </c>
      <c r="B38">
        <v>1</v>
      </c>
      <c r="C38" t="s">
        <v>568</v>
      </c>
      <c r="D38" t="s">
        <v>572</v>
      </c>
    </row>
    <row r="39" spans="1:50" x14ac:dyDescent="0.2">
      <c r="A39" t="s">
        <v>565</v>
      </c>
      <c r="B39">
        <v>20</v>
      </c>
      <c r="C39" t="s">
        <v>566</v>
      </c>
      <c r="D39" t="s">
        <v>572</v>
      </c>
    </row>
    <row r="40" spans="1:50" x14ac:dyDescent="0.2">
      <c r="A40" t="s">
        <v>575</v>
      </c>
      <c r="B40" s="796">
        <f>G23</f>
        <v>5723.4375</v>
      </c>
      <c r="C40" t="s">
        <v>574</v>
      </c>
      <c r="D40" t="s">
        <v>573</v>
      </c>
    </row>
    <row r="42" spans="1:50" hidden="1" x14ac:dyDescent="0.2">
      <c r="A42" t="s">
        <v>570</v>
      </c>
    </row>
    <row r="43" spans="1:50" hidden="1" x14ac:dyDescent="0.2"/>
    <row r="44" spans="1:50" hidden="1" x14ac:dyDescent="0.2">
      <c r="I44" s="570"/>
      <c r="N44" s="797"/>
      <c r="O44" s="797"/>
      <c r="P44" s="797"/>
      <c r="Q44" s="797"/>
      <c r="R44" s="797"/>
      <c r="S44" s="797"/>
      <c r="T44" s="570"/>
      <c r="U44" s="797"/>
      <c r="V44" s="797"/>
      <c r="W44" s="797"/>
      <c r="X44" s="797"/>
      <c r="Z44" s="797"/>
      <c r="AA44" s="797">
        <v>108.07617187500003</v>
      </c>
      <c r="AB44" s="797">
        <v>216.15234375000006</v>
      </c>
      <c r="AC44" s="797">
        <v>324.228515625</v>
      </c>
      <c r="AD44" s="797">
        <v>432.30468750000011</v>
      </c>
      <c r="AE44" s="797">
        <v>648.45703125</v>
      </c>
      <c r="AF44" s="797">
        <v>864.60937500000023</v>
      </c>
      <c r="AG44" s="570">
        <v>1080.76171875</v>
      </c>
      <c r="AH44" s="797">
        <v>1296.9140625</v>
      </c>
      <c r="AI44" s="797">
        <v>2161.5234375</v>
      </c>
      <c r="AJ44" s="797">
        <v>3242.28515625</v>
      </c>
      <c r="AK44" s="797">
        <v>4323.046875</v>
      </c>
      <c r="AM44" s="797"/>
      <c r="AN44" s="797">
        <v>108.07617187500003</v>
      </c>
      <c r="AO44" s="797">
        <v>216.15234375000006</v>
      </c>
      <c r="AP44" s="797">
        <v>324.228515625</v>
      </c>
      <c r="AQ44" s="797">
        <v>432.30468750000011</v>
      </c>
      <c r="AR44" s="797">
        <v>648.45703125</v>
      </c>
      <c r="AS44" s="797">
        <v>864.60937500000023</v>
      </c>
      <c r="AT44" s="570">
        <v>1080.76171875</v>
      </c>
      <c r="AU44" s="797">
        <v>1296.9140625</v>
      </c>
      <c r="AV44" s="797">
        <v>2161.5234375</v>
      </c>
      <c r="AW44" s="797">
        <v>3242.28515625</v>
      </c>
      <c r="AX44" s="797">
        <v>4323.046875</v>
      </c>
    </row>
    <row r="45" spans="1:50" hidden="1" x14ac:dyDescent="0.2">
      <c r="B45" t="s">
        <v>290</v>
      </c>
      <c r="E45" t="s">
        <v>523</v>
      </c>
      <c r="I45" s="570"/>
      <c r="N45" s="797"/>
      <c r="O45" s="797"/>
      <c r="P45" s="797"/>
      <c r="Q45" s="797"/>
      <c r="R45" s="797"/>
      <c r="S45" s="797"/>
      <c r="T45" s="570"/>
      <c r="U45" s="797"/>
      <c r="V45" s="797"/>
      <c r="W45" s="797"/>
      <c r="X45" s="797"/>
      <c r="Z45" s="797"/>
      <c r="AA45" s="797">
        <v>25</v>
      </c>
      <c r="AB45" s="797">
        <v>50</v>
      </c>
      <c r="AC45" s="797">
        <v>75</v>
      </c>
      <c r="AD45" s="797">
        <v>100</v>
      </c>
      <c r="AE45" s="797">
        <v>150</v>
      </c>
      <c r="AF45" s="797">
        <v>200</v>
      </c>
      <c r="AG45" s="570">
        <v>250</v>
      </c>
      <c r="AH45" s="797">
        <v>300</v>
      </c>
      <c r="AI45" s="797">
        <v>500</v>
      </c>
      <c r="AJ45" s="797">
        <v>750</v>
      </c>
      <c r="AK45" s="797">
        <v>1000</v>
      </c>
      <c r="AM45" s="797"/>
      <c r="AN45" s="797">
        <v>25</v>
      </c>
      <c r="AO45" s="797">
        <v>50</v>
      </c>
      <c r="AP45" s="797">
        <v>75</v>
      </c>
      <c r="AQ45" s="797">
        <v>100</v>
      </c>
      <c r="AR45" s="797">
        <v>150</v>
      </c>
      <c r="AS45" s="797">
        <v>200</v>
      </c>
      <c r="AT45" s="570">
        <v>250</v>
      </c>
      <c r="AU45" s="797">
        <v>300</v>
      </c>
      <c r="AV45" s="797">
        <v>500</v>
      </c>
      <c r="AW45" s="797">
        <v>750</v>
      </c>
      <c r="AX45" s="797">
        <v>1000</v>
      </c>
    </row>
    <row r="46" spans="1:50" hidden="1" x14ac:dyDescent="0.2">
      <c r="A46" t="s">
        <v>503</v>
      </c>
      <c r="B46" t="s">
        <v>504</v>
      </c>
      <c r="C46" s="610">
        <f>124*(B37/B38/500)^0.6</f>
        <v>50.667700650135899</v>
      </c>
      <c r="D46" t="s">
        <v>304</v>
      </c>
      <c r="E46" t="s">
        <v>524</v>
      </c>
      <c r="F46" t="s">
        <v>304</v>
      </c>
      <c r="I46" s="610"/>
      <c r="L46" s="919"/>
      <c r="M46" s="919"/>
      <c r="N46" s="797"/>
      <c r="O46" s="797"/>
      <c r="P46" s="797"/>
      <c r="Q46" s="797"/>
      <c r="R46" s="797"/>
      <c r="S46" s="797"/>
      <c r="T46" s="610"/>
      <c r="U46" s="797"/>
      <c r="V46" s="797"/>
      <c r="W46" s="797"/>
      <c r="X46" s="797"/>
      <c r="Z46" s="919" t="s">
        <v>504</v>
      </c>
      <c r="AA46" s="610">
        <f>SUMIF($M$46:$M$59,$Z46,N$46:N$59)</f>
        <v>0</v>
      </c>
      <c r="AB46" s="610">
        <f t="shared" ref="AB46:AB48" si="3">SUMIF($M$46:$M$59,$Z46,O$46:O$59)</f>
        <v>0</v>
      </c>
      <c r="AC46" s="610">
        <f t="shared" ref="AC46:AC48" si="4">SUMIF($M$46:$M$59,$Z46,P$46:P$59)</f>
        <v>0</v>
      </c>
      <c r="AD46" s="610">
        <f t="shared" ref="AD46:AD48" si="5">SUMIF($M$46:$M$59,$Z46,Q$46:Q$59)</f>
        <v>0</v>
      </c>
      <c r="AE46" s="610">
        <f t="shared" ref="AE46:AE48" si="6">SUMIF($M$46:$M$59,$Z46,R$46:R$59)</f>
        <v>0</v>
      </c>
      <c r="AF46" s="610">
        <f t="shared" ref="AF46:AF48" si="7">SUMIF($M$46:$M$59,$Z46,S$46:S$59)</f>
        <v>0</v>
      </c>
      <c r="AG46" s="610">
        <f t="shared" ref="AG46:AG48" si="8">SUMIF($M$46:$M$59,$Z46,T$46:T$59)</f>
        <v>0</v>
      </c>
      <c r="AH46" s="610">
        <f t="shared" ref="AH46:AH48" si="9">SUMIF($M$46:$M$59,$Z46,U$46:U$59)</f>
        <v>0</v>
      </c>
      <c r="AI46" s="610">
        <f t="shared" ref="AI46:AI48" si="10">SUMIF($M$46:$M$59,$Z46,V$46:V$59)</f>
        <v>0</v>
      </c>
      <c r="AJ46" s="610">
        <f t="shared" ref="AJ46:AJ48" si="11">SUMIF($M$46:$M$59,$Z46,W$46:W$59)</f>
        <v>0</v>
      </c>
      <c r="AK46" s="610">
        <f t="shared" ref="AK46:AK48" si="12">SUMIF($M$46:$M$59,$Z46,X$46:X$59)</f>
        <v>0</v>
      </c>
      <c r="AM46" s="919" t="s">
        <v>504</v>
      </c>
      <c r="AN46" s="96" t="e">
        <f t="shared" ref="AN46:AX49" si="13">AA46/AA$50</f>
        <v>#DIV/0!</v>
      </c>
      <c r="AO46" s="96" t="e">
        <f t="shared" si="13"/>
        <v>#DIV/0!</v>
      </c>
      <c r="AP46" s="96" t="e">
        <f t="shared" si="13"/>
        <v>#DIV/0!</v>
      </c>
      <c r="AQ46" s="96" t="e">
        <f t="shared" si="13"/>
        <v>#DIV/0!</v>
      </c>
      <c r="AR46" s="96" t="e">
        <f t="shared" si="13"/>
        <v>#DIV/0!</v>
      </c>
      <c r="AS46" s="96" t="e">
        <f t="shared" si="13"/>
        <v>#DIV/0!</v>
      </c>
      <c r="AT46" s="96" t="e">
        <f t="shared" si="13"/>
        <v>#DIV/0!</v>
      </c>
      <c r="AU46" s="96" t="e">
        <f t="shared" si="13"/>
        <v>#DIV/0!</v>
      </c>
      <c r="AV46" s="96" t="e">
        <f t="shared" si="13"/>
        <v>#DIV/0!</v>
      </c>
      <c r="AW46" s="96" t="e">
        <f t="shared" si="13"/>
        <v>#DIV/0!</v>
      </c>
      <c r="AX46" s="96" t="e">
        <f t="shared" si="13"/>
        <v>#DIV/0!</v>
      </c>
    </row>
    <row r="47" spans="1:50" hidden="1" x14ac:dyDescent="0.2">
      <c r="B47" t="s">
        <v>375</v>
      </c>
      <c r="C47" s="610">
        <f>44.1*(B37/500)^0.6</f>
        <v>18.019722569927364</v>
      </c>
      <c r="D47" t="s">
        <v>304</v>
      </c>
      <c r="I47" s="610"/>
      <c r="L47" s="919"/>
      <c r="M47" s="919"/>
      <c r="N47" s="797"/>
      <c r="O47" s="797"/>
      <c r="P47" s="797"/>
      <c r="Q47" s="797"/>
      <c r="R47" s="797"/>
      <c r="S47" s="797"/>
      <c r="T47" s="610"/>
      <c r="U47" s="797"/>
      <c r="V47" s="797"/>
      <c r="W47" s="797"/>
      <c r="X47" s="797"/>
      <c r="Z47" s="919" t="s">
        <v>375</v>
      </c>
      <c r="AA47" s="610">
        <f t="shared" ref="AA47:AA48" si="14">SUMIF($M$46:$M$59,$Z47,N$46:N$59)</f>
        <v>0</v>
      </c>
      <c r="AB47" s="610">
        <f t="shared" si="3"/>
        <v>0</v>
      </c>
      <c r="AC47" s="610">
        <f t="shared" si="4"/>
        <v>0</v>
      </c>
      <c r="AD47" s="610">
        <f t="shared" si="5"/>
        <v>0</v>
      </c>
      <c r="AE47" s="610">
        <f t="shared" si="6"/>
        <v>0</v>
      </c>
      <c r="AF47" s="610">
        <f t="shared" si="7"/>
        <v>0</v>
      </c>
      <c r="AG47" s="610">
        <f t="shared" si="8"/>
        <v>0</v>
      </c>
      <c r="AH47" s="610">
        <f t="shared" si="9"/>
        <v>0</v>
      </c>
      <c r="AI47" s="610">
        <f t="shared" si="10"/>
        <v>0</v>
      </c>
      <c r="AJ47" s="610">
        <f t="shared" si="11"/>
        <v>0</v>
      </c>
      <c r="AK47" s="610">
        <f t="shared" si="12"/>
        <v>0</v>
      </c>
      <c r="AM47" s="919" t="s">
        <v>375</v>
      </c>
      <c r="AN47" s="96" t="e">
        <f t="shared" si="13"/>
        <v>#DIV/0!</v>
      </c>
      <c r="AO47" s="96" t="e">
        <f t="shared" si="13"/>
        <v>#DIV/0!</v>
      </c>
      <c r="AP47" s="96" t="e">
        <f t="shared" si="13"/>
        <v>#DIV/0!</v>
      </c>
      <c r="AQ47" s="96" t="e">
        <f t="shared" si="13"/>
        <v>#DIV/0!</v>
      </c>
      <c r="AR47" s="96" t="e">
        <f t="shared" si="13"/>
        <v>#DIV/0!</v>
      </c>
      <c r="AS47" s="96" t="e">
        <f t="shared" si="13"/>
        <v>#DIV/0!</v>
      </c>
      <c r="AT47" s="96" t="e">
        <f t="shared" si="13"/>
        <v>#DIV/0!</v>
      </c>
      <c r="AU47" s="96" t="e">
        <f t="shared" si="13"/>
        <v>#DIV/0!</v>
      </c>
      <c r="AV47" s="96" t="e">
        <f t="shared" si="13"/>
        <v>#DIV/0!</v>
      </c>
      <c r="AW47" s="96" t="e">
        <f t="shared" si="13"/>
        <v>#DIV/0!</v>
      </c>
      <c r="AX47" s="96" t="e">
        <f t="shared" si="13"/>
        <v>#DIV/0!</v>
      </c>
    </row>
    <row r="48" spans="1:50" hidden="1" x14ac:dyDescent="0.2">
      <c r="A48" t="s">
        <v>505</v>
      </c>
      <c r="B48" t="s">
        <v>506</v>
      </c>
      <c r="C48" s="610">
        <f>IF(B31&lt;=275,B31/25*25,0)</f>
        <v>0</v>
      </c>
      <c r="D48" t="s">
        <v>304</v>
      </c>
      <c r="E48" t="s">
        <v>524</v>
      </c>
      <c r="F48" t="s">
        <v>304</v>
      </c>
      <c r="I48" s="610"/>
      <c r="L48" s="919"/>
      <c r="M48" s="919"/>
      <c r="N48" s="797"/>
      <c r="O48" s="797"/>
      <c r="P48" s="797"/>
      <c r="Q48" s="797"/>
      <c r="R48" s="797"/>
      <c r="S48" s="797"/>
      <c r="T48" s="610"/>
      <c r="U48" s="797"/>
      <c r="V48" s="797"/>
      <c r="W48" s="797"/>
      <c r="X48" s="797"/>
      <c r="Z48" s="919" t="s">
        <v>511</v>
      </c>
      <c r="AA48" s="610">
        <f t="shared" si="14"/>
        <v>0</v>
      </c>
      <c r="AB48" s="610">
        <f t="shared" si="3"/>
        <v>0</v>
      </c>
      <c r="AC48" s="610">
        <f t="shared" si="4"/>
        <v>0</v>
      </c>
      <c r="AD48" s="610">
        <f t="shared" si="5"/>
        <v>0</v>
      </c>
      <c r="AE48" s="610">
        <f t="shared" si="6"/>
        <v>0</v>
      </c>
      <c r="AF48" s="610">
        <f t="shared" si="7"/>
        <v>0</v>
      </c>
      <c r="AG48" s="610">
        <f t="shared" si="8"/>
        <v>0</v>
      </c>
      <c r="AH48" s="610">
        <f t="shared" si="9"/>
        <v>0</v>
      </c>
      <c r="AI48" s="610">
        <f t="shared" si="10"/>
        <v>0</v>
      </c>
      <c r="AJ48" s="610">
        <f t="shared" si="11"/>
        <v>0</v>
      </c>
      <c r="AK48" s="610">
        <f t="shared" si="12"/>
        <v>0</v>
      </c>
      <c r="AM48" s="919" t="s">
        <v>511</v>
      </c>
      <c r="AN48" s="96" t="e">
        <f t="shared" si="13"/>
        <v>#DIV/0!</v>
      </c>
      <c r="AO48" s="96" t="e">
        <f t="shared" si="13"/>
        <v>#DIV/0!</v>
      </c>
      <c r="AP48" s="96" t="e">
        <f t="shared" si="13"/>
        <v>#DIV/0!</v>
      </c>
      <c r="AQ48" s="96" t="e">
        <f t="shared" si="13"/>
        <v>#DIV/0!</v>
      </c>
      <c r="AR48" s="96" t="e">
        <f t="shared" si="13"/>
        <v>#DIV/0!</v>
      </c>
      <c r="AS48" s="96" t="e">
        <f t="shared" si="13"/>
        <v>#DIV/0!</v>
      </c>
      <c r="AT48" s="96" t="e">
        <f t="shared" si="13"/>
        <v>#DIV/0!</v>
      </c>
      <c r="AU48" s="96" t="e">
        <f t="shared" si="13"/>
        <v>#DIV/0!</v>
      </c>
      <c r="AV48" s="96" t="e">
        <f t="shared" si="13"/>
        <v>#DIV/0!</v>
      </c>
      <c r="AW48" s="96" t="e">
        <f t="shared" si="13"/>
        <v>#DIV/0!</v>
      </c>
      <c r="AX48" s="96" t="e">
        <f t="shared" si="13"/>
        <v>#DIV/0!</v>
      </c>
    </row>
    <row r="49" spans="1:50" hidden="1" x14ac:dyDescent="0.2">
      <c r="A49" t="s">
        <v>507</v>
      </c>
      <c r="B49" t="s">
        <v>508</v>
      </c>
      <c r="C49" s="610">
        <f>IF(B31&gt;275,4.8485*B31^0.7556,0)</f>
        <v>691.46806561820244</v>
      </c>
      <c r="D49" t="s">
        <v>304</v>
      </c>
      <c r="E49" t="s">
        <v>524</v>
      </c>
      <c r="F49" t="s">
        <v>304</v>
      </c>
      <c r="I49" s="610"/>
      <c r="L49" s="919"/>
      <c r="M49" s="919"/>
      <c r="N49" s="797"/>
      <c r="O49" s="797"/>
      <c r="P49" s="797"/>
      <c r="Q49" s="797"/>
      <c r="R49" s="797"/>
      <c r="S49" s="797"/>
      <c r="T49" s="610"/>
      <c r="U49" s="797"/>
      <c r="V49" s="797"/>
      <c r="W49" s="797"/>
      <c r="X49" s="797"/>
      <c r="Z49" s="919" t="s">
        <v>712</v>
      </c>
      <c r="AA49" s="610">
        <f t="shared" ref="AA49" si="15">SUMIF($M$46:$M$59,$Z49,N$46:N$59)</f>
        <v>0</v>
      </c>
      <c r="AB49" s="610">
        <f t="shared" ref="AB49" si="16">SUMIF($M$46:$M$59,$Z49,O$46:O$59)</f>
        <v>0</v>
      </c>
      <c r="AC49" s="610">
        <f t="shared" ref="AC49" si="17">SUMIF($M$46:$M$59,$Z49,P$46:P$59)</f>
        <v>0</v>
      </c>
      <c r="AD49" s="610">
        <f t="shared" ref="AD49" si="18">SUMIF($M$46:$M$59,$Z49,Q$46:Q$59)</f>
        <v>0</v>
      </c>
      <c r="AE49" s="610">
        <f t="shared" ref="AE49" si="19">SUMIF($M$46:$M$59,$Z49,R$46:R$59)</f>
        <v>0</v>
      </c>
      <c r="AF49" s="610">
        <f t="shared" ref="AF49" si="20">SUMIF($M$46:$M$59,$Z49,S$46:S$59)</f>
        <v>0</v>
      </c>
      <c r="AG49" s="610">
        <f t="shared" ref="AG49" si="21">SUMIF($M$46:$M$59,$Z49,T$46:T$59)</f>
        <v>0</v>
      </c>
      <c r="AH49" s="610">
        <f t="shared" ref="AH49" si="22">SUMIF($M$46:$M$59,$Z49,U$46:U$59)</f>
        <v>0</v>
      </c>
      <c r="AI49" s="610">
        <f t="shared" ref="AI49" si="23">SUMIF($M$46:$M$59,$Z49,V$46:V$59)</f>
        <v>0</v>
      </c>
      <c r="AJ49" s="610">
        <f t="shared" ref="AJ49" si="24">SUMIF($M$46:$M$59,$Z49,W$46:W$59)</f>
        <v>0</v>
      </c>
      <c r="AK49" s="610">
        <f t="shared" ref="AK49" si="25">SUMIF($M$46:$M$59,$Z49,X$46:X$59)</f>
        <v>0</v>
      </c>
      <c r="AM49" s="919" t="s">
        <v>712</v>
      </c>
      <c r="AN49" s="96" t="e">
        <f t="shared" si="13"/>
        <v>#DIV/0!</v>
      </c>
      <c r="AO49" s="96" t="e">
        <f t="shared" si="13"/>
        <v>#DIV/0!</v>
      </c>
      <c r="AP49" s="96" t="e">
        <f t="shared" si="13"/>
        <v>#DIV/0!</v>
      </c>
      <c r="AQ49" s="96" t="e">
        <f t="shared" si="13"/>
        <v>#DIV/0!</v>
      </c>
      <c r="AR49" s="96" t="e">
        <f t="shared" si="13"/>
        <v>#DIV/0!</v>
      </c>
      <c r="AS49" s="96" t="e">
        <f t="shared" si="13"/>
        <v>#DIV/0!</v>
      </c>
      <c r="AT49" s="96" t="e">
        <f t="shared" si="13"/>
        <v>#DIV/0!</v>
      </c>
      <c r="AU49" s="96" t="e">
        <f t="shared" si="13"/>
        <v>#DIV/0!</v>
      </c>
      <c r="AV49" s="96" t="e">
        <f t="shared" si="13"/>
        <v>#DIV/0!</v>
      </c>
      <c r="AW49" s="96" t="e">
        <f t="shared" si="13"/>
        <v>#DIV/0!</v>
      </c>
      <c r="AX49" s="96" t="e">
        <f t="shared" si="13"/>
        <v>#DIV/0!</v>
      </c>
    </row>
    <row r="50" spans="1:50" hidden="1" x14ac:dyDescent="0.2">
      <c r="B50" t="s">
        <v>509</v>
      </c>
      <c r="C50" s="610">
        <f>IF(B31&gt;275,0.0407*B31^1.288,0)</f>
        <v>191.24746712950972</v>
      </c>
      <c r="D50" t="s">
        <v>304</v>
      </c>
      <c r="I50" s="610"/>
      <c r="L50" s="919"/>
      <c r="M50" s="919"/>
      <c r="N50" s="797"/>
      <c r="O50" s="797"/>
      <c r="P50" s="797"/>
      <c r="Q50" s="797"/>
      <c r="R50" s="797"/>
      <c r="S50" s="797"/>
      <c r="T50" s="610"/>
      <c r="U50" s="797"/>
      <c r="V50" s="797"/>
      <c r="W50" s="797"/>
      <c r="X50" s="797"/>
      <c r="AA50" s="611">
        <f>SUM(AA46:AA49)</f>
        <v>0</v>
      </c>
      <c r="AB50" s="611">
        <f t="shared" ref="AB50:AK50" si="26">SUM(AB46:AB49)</f>
        <v>0</v>
      </c>
      <c r="AC50" s="611">
        <f t="shared" si="26"/>
        <v>0</v>
      </c>
      <c r="AD50" s="611">
        <f t="shared" si="26"/>
        <v>0</v>
      </c>
      <c r="AE50" s="611">
        <f t="shared" si="26"/>
        <v>0</v>
      </c>
      <c r="AF50" s="611">
        <f t="shared" si="26"/>
        <v>0</v>
      </c>
      <c r="AG50" s="611">
        <f t="shared" si="26"/>
        <v>0</v>
      </c>
      <c r="AH50" s="611">
        <f t="shared" si="26"/>
        <v>0</v>
      </c>
      <c r="AI50" s="611">
        <f t="shared" si="26"/>
        <v>0</v>
      </c>
      <c r="AJ50" s="611">
        <f t="shared" si="26"/>
        <v>0</v>
      </c>
      <c r="AK50" s="611">
        <f t="shared" si="26"/>
        <v>0</v>
      </c>
      <c r="AN50" s="205" t="e">
        <f>SUM(AN46:AN49)</f>
        <v>#DIV/0!</v>
      </c>
      <c r="AO50" s="205" t="e">
        <f t="shared" ref="AO50:AX50" si="27">SUM(AO46:AO49)</f>
        <v>#DIV/0!</v>
      </c>
      <c r="AP50" s="205" t="e">
        <f t="shared" si="27"/>
        <v>#DIV/0!</v>
      </c>
      <c r="AQ50" s="205" t="e">
        <f t="shared" si="27"/>
        <v>#DIV/0!</v>
      </c>
      <c r="AR50" s="205" t="e">
        <f t="shared" si="27"/>
        <v>#DIV/0!</v>
      </c>
      <c r="AS50" s="205" t="e">
        <f t="shared" si="27"/>
        <v>#DIV/0!</v>
      </c>
      <c r="AT50" s="205" t="e">
        <f t="shared" si="27"/>
        <v>#DIV/0!</v>
      </c>
      <c r="AU50" s="205" t="e">
        <f t="shared" si="27"/>
        <v>#DIV/0!</v>
      </c>
      <c r="AV50" s="205" t="e">
        <f t="shared" si="27"/>
        <v>#DIV/0!</v>
      </c>
      <c r="AW50" s="205" t="e">
        <f t="shared" si="27"/>
        <v>#DIV/0!</v>
      </c>
      <c r="AX50" s="205" t="e">
        <f t="shared" si="27"/>
        <v>#DIV/0!</v>
      </c>
    </row>
    <row r="51" spans="1:50" hidden="1" x14ac:dyDescent="0.2">
      <c r="A51" t="s">
        <v>510</v>
      </c>
      <c r="B51" t="s">
        <v>504</v>
      </c>
      <c r="C51" s="610">
        <f>8.26*(B37*3)^0.4</f>
        <v>84.779247643018479</v>
      </c>
      <c r="D51" t="s">
        <v>304</v>
      </c>
      <c r="E51" t="s">
        <v>525</v>
      </c>
      <c r="F51" t="s">
        <v>304</v>
      </c>
      <c r="I51" s="610"/>
      <c r="L51" s="919"/>
      <c r="M51" s="919"/>
      <c r="N51" s="797"/>
      <c r="O51" s="797"/>
      <c r="P51" s="797"/>
      <c r="Q51" s="797"/>
      <c r="R51" s="797"/>
      <c r="S51" s="797"/>
      <c r="T51" s="610"/>
      <c r="U51" s="797"/>
      <c r="V51" s="797"/>
      <c r="W51" s="797"/>
      <c r="X51" s="797"/>
      <c r="AG51" s="610"/>
    </row>
    <row r="52" spans="1:50" hidden="1" x14ac:dyDescent="0.2">
      <c r="B52" t="s">
        <v>511</v>
      </c>
      <c r="C52" s="610">
        <f>0.836*(B37*3)^0.535</f>
        <v>18.82923814327004</v>
      </c>
      <c r="D52" t="s">
        <v>304</v>
      </c>
      <c r="E52" t="s">
        <v>526</v>
      </c>
      <c r="F52" t="s">
        <v>304</v>
      </c>
      <c r="I52" s="610"/>
      <c r="L52" s="919"/>
      <c r="M52" s="919"/>
      <c r="N52" s="797"/>
      <c r="O52" s="797"/>
      <c r="P52" s="797"/>
      <c r="Q52" s="797"/>
      <c r="R52" s="797"/>
      <c r="S52" s="797"/>
      <c r="T52" s="610"/>
      <c r="U52" s="797"/>
      <c r="V52" s="797"/>
      <c r="W52" s="797"/>
      <c r="X52" s="797"/>
      <c r="AG52" s="610"/>
    </row>
    <row r="53" spans="1:50" hidden="1" x14ac:dyDescent="0.2">
      <c r="B53" t="s">
        <v>512</v>
      </c>
      <c r="C53" s="610">
        <f>2.01*(B37*3)^0.583</f>
        <v>59.865921174651128</v>
      </c>
      <c r="D53" t="s">
        <v>304</v>
      </c>
      <c r="I53" s="610"/>
      <c r="L53" s="919"/>
      <c r="M53" s="919"/>
      <c r="N53" s="797"/>
      <c r="O53" s="797"/>
      <c r="P53" s="797"/>
      <c r="Q53" s="797"/>
      <c r="R53" s="797"/>
      <c r="S53" s="797"/>
      <c r="T53" s="610"/>
      <c r="U53" s="797"/>
      <c r="V53" s="797"/>
      <c r="W53" s="797"/>
      <c r="X53" s="797"/>
      <c r="AG53" s="610"/>
    </row>
    <row r="54" spans="1:50" hidden="1" x14ac:dyDescent="0.2">
      <c r="A54" t="s">
        <v>513</v>
      </c>
      <c r="B54" t="s">
        <v>504</v>
      </c>
      <c r="C54" s="798">
        <f>10.4*B40^0.437</f>
        <v>456.17283979190989</v>
      </c>
      <c r="D54" t="s">
        <v>304</v>
      </c>
      <c r="E54" t="s">
        <v>526</v>
      </c>
      <c r="F54" t="s">
        <v>304</v>
      </c>
      <c r="I54" s="610"/>
      <c r="L54" s="919"/>
      <c r="M54" s="919"/>
      <c r="N54" s="797"/>
      <c r="O54" s="797"/>
      <c r="P54" s="797"/>
      <c r="Q54" s="797"/>
      <c r="R54" s="797"/>
      <c r="S54" s="797"/>
      <c r="T54" s="610"/>
      <c r="U54" s="797"/>
      <c r="V54" s="797"/>
      <c r="W54" s="797"/>
      <c r="X54" s="797"/>
      <c r="AG54" s="610"/>
    </row>
    <row r="55" spans="1:50" hidden="1" x14ac:dyDescent="0.2">
      <c r="A55" t="s">
        <v>514</v>
      </c>
      <c r="B55" t="s">
        <v>521</v>
      </c>
      <c r="C55" s="610">
        <f>0.9993*$B$35^0.4776</f>
        <v>6.4732735723332704</v>
      </c>
      <c r="D55" t="s">
        <v>304</v>
      </c>
      <c r="E55" t="s">
        <v>524</v>
      </c>
      <c r="F55" t="s">
        <v>304</v>
      </c>
      <c r="I55" s="610"/>
      <c r="L55" s="919"/>
      <c r="M55" s="919"/>
      <c r="N55" s="797"/>
      <c r="O55" s="797"/>
      <c r="P55" s="797"/>
      <c r="Q55" s="797"/>
      <c r="R55" s="797"/>
      <c r="S55" s="797"/>
      <c r="T55" s="610"/>
      <c r="U55" s="797"/>
      <c r="V55" s="797"/>
      <c r="W55" s="797"/>
      <c r="X55" s="797"/>
    </row>
    <row r="56" spans="1:50" hidden="1" x14ac:dyDescent="0.2">
      <c r="A56" t="s">
        <v>515</v>
      </c>
      <c r="B56" t="s">
        <v>521</v>
      </c>
      <c r="C56" s="610">
        <f>57*($B$35/30)^0.6</f>
        <v>77.443345412562664</v>
      </c>
      <c r="D56" t="s">
        <v>304</v>
      </c>
      <c r="E56" t="s">
        <v>524</v>
      </c>
      <c r="F56" t="s">
        <v>304</v>
      </c>
      <c r="I56" s="610"/>
      <c r="L56" s="919"/>
      <c r="M56" s="919"/>
      <c r="N56" s="797"/>
      <c r="O56" s="797"/>
      <c r="P56" s="797"/>
      <c r="Q56" s="797"/>
      <c r="R56" s="797"/>
      <c r="S56" s="797"/>
      <c r="T56" s="610"/>
      <c r="U56" s="797"/>
      <c r="V56" s="797"/>
      <c r="W56" s="797"/>
      <c r="X56" s="797"/>
    </row>
    <row r="57" spans="1:50" hidden="1" x14ac:dyDescent="0.2">
      <c r="A57" t="s">
        <v>516</v>
      </c>
      <c r="B57" t="s">
        <v>522</v>
      </c>
      <c r="C57" s="610">
        <f>24*($B$35/30)^0.6</f>
        <v>32.607724384236917</v>
      </c>
      <c r="D57" t="s">
        <v>304</v>
      </c>
      <c r="I57" s="610"/>
      <c r="L57" s="919"/>
      <c r="M57" s="919"/>
      <c r="N57" s="797"/>
      <c r="O57" s="797"/>
      <c r="P57" s="797"/>
      <c r="Q57" s="797"/>
      <c r="R57" s="797"/>
      <c r="S57" s="797"/>
      <c r="T57" s="610"/>
      <c r="U57" s="797"/>
      <c r="V57" s="797"/>
      <c r="W57" s="797"/>
      <c r="X57" s="797"/>
    </row>
    <row r="58" spans="1:50" ht="26" hidden="1" x14ac:dyDescent="0.2">
      <c r="A58" s="585" t="s">
        <v>517</v>
      </c>
      <c r="B58" t="s">
        <v>521</v>
      </c>
      <c r="C58" s="610">
        <f>393*($B$35/30)^0.6</f>
        <v>533.95148679187946</v>
      </c>
      <c r="D58" t="s">
        <v>304</v>
      </c>
      <c r="E58" t="s">
        <v>524</v>
      </c>
      <c r="F58" t="s">
        <v>304</v>
      </c>
      <c r="I58" s="610"/>
      <c r="L58" s="919"/>
      <c r="M58" s="919"/>
      <c r="N58" s="797"/>
      <c r="O58" s="797"/>
      <c r="P58" s="797"/>
      <c r="Q58" s="797"/>
      <c r="R58" s="797"/>
      <c r="S58" s="797"/>
      <c r="T58" s="610"/>
      <c r="U58" s="797"/>
      <c r="V58" s="797"/>
      <c r="W58" s="797"/>
      <c r="X58" s="797"/>
    </row>
    <row r="59" spans="1:50" hidden="1" x14ac:dyDescent="0.2">
      <c r="A59" t="s">
        <v>518</v>
      </c>
      <c r="B59" t="s">
        <v>521</v>
      </c>
      <c r="C59" s="610" t="e">
        <f>14.887*(B37*1.33)^0.8332*(1-入門編_計算シート!#REF!)</f>
        <v>#REF!</v>
      </c>
      <c r="D59" t="s">
        <v>304</v>
      </c>
      <c r="E59" t="s">
        <v>525</v>
      </c>
      <c r="F59" t="s">
        <v>304</v>
      </c>
      <c r="I59" s="610"/>
      <c r="L59" s="919"/>
      <c r="M59" s="919"/>
      <c r="N59" s="797"/>
      <c r="O59" s="797"/>
      <c r="P59" s="797"/>
      <c r="Q59" s="797"/>
      <c r="R59" s="797"/>
      <c r="S59" s="797"/>
      <c r="T59" s="610"/>
      <c r="U59" s="797"/>
      <c r="V59" s="797"/>
      <c r="W59" s="797"/>
      <c r="X59" s="797"/>
    </row>
    <row r="60" spans="1:50" hidden="1" x14ac:dyDescent="0.2">
      <c r="E60" t="s">
        <v>527</v>
      </c>
      <c r="F60" t="s">
        <v>304</v>
      </c>
      <c r="I60" s="610"/>
      <c r="N60" s="797"/>
      <c r="O60" s="797"/>
      <c r="P60" s="797"/>
      <c r="Q60" s="797"/>
      <c r="R60" s="797"/>
      <c r="S60" s="797"/>
      <c r="T60" s="610"/>
      <c r="U60" s="797"/>
      <c r="V60" s="797"/>
      <c r="W60" s="797"/>
      <c r="X60" s="797"/>
    </row>
    <row r="61" spans="1:50" hidden="1" x14ac:dyDescent="0.2">
      <c r="B61" t="s">
        <v>69</v>
      </c>
      <c r="C61" s="611" t="e">
        <f>SUM(C46:C59)</f>
        <v>#REF!</v>
      </c>
      <c r="D61" t="s">
        <v>304</v>
      </c>
      <c r="E61" t="s">
        <v>69</v>
      </c>
      <c r="F61" t="s">
        <v>304</v>
      </c>
      <c r="I61" s="611"/>
      <c r="N61" s="797"/>
      <c r="O61" s="797"/>
      <c r="P61" s="797"/>
      <c r="Q61" s="797"/>
      <c r="R61" s="797"/>
      <c r="S61" s="797"/>
      <c r="T61" s="611"/>
      <c r="U61" s="797"/>
      <c r="V61" s="797"/>
      <c r="W61" s="797"/>
      <c r="X61" s="797"/>
    </row>
    <row r="62" spans="1:50" hidden="1" x14ac:dyDescent="0.2">
      <c r="C62" s="206" t="e">
        <f>C61/$B$31*100</f>
        <v>#REF!</v>
      </c>
      <c r="N62" s="206"/>
      <c r="O62" s="206"/>
      <c r="P62" s="206"/>
      <c r="Q62" s="206"/>
      <c r="R62" s="206"/>
      <c r="S62" s="206"/>
      <c r="U62" s="206"/>
      <c r="V62" s="206"/>
      <c r="W62" s="206"/>
      <c r="X62" s="206"/>
    </row>
    <row r="63" spans="1:50" hidden="1" x14ac:dyDescent="0.2">
      <c r="N63" s="797"/>
      <c r="O63" s="797"/>
      <c r="P63" s="797"/>
      <c r="Q63" s="797"/>
      <c r="R63" s="797"/>
      <c r="S63" s="797"/>
      <c r="U63" s="797"/>
      <c r="V63" s="797"/>
      <c r="W63" s="797"/>
      <c r="X63" s="797"/>
    </row>
    <row r="64" spans="1:50" hidden="1" x14ac:dyDescent="0.2">
      <c r="I64" s="610"/>
      <c r="L64" s="919"/>
      <c r="N64" s="797"/>
      <c r="O64" s="797"/>
      <c r="P64" s="797"/>
      <c r="Q64" s="797"/>
      <c r="R64" s="797"/>
      <c r="S64" s="797"/>
      <c r="T64" s="610"/>
      <c r="U64" s="797"/>
      <c r="V64" s="797"/>
      <c r="W64" s="797"/>
      <c r="X64" s="797"/>
      <c r="Z64" s="797"/>
      <c r="AA64" s="797">
        <v>108.07617187500003</v>
      </c>
      <c r="AB64" s="797">
        <v>216.15234375000006</v>
      </c>
      <c r="AC64" s="797">
        <v>324.228515625</v>
      </c>
      <c r="AD64" s="797">
        <v>432.30468750000011</v>
      </c>
      <c r="AE64" s="797">
        <v>648.45703125</v>
      </c>
      <c r="AF64" s="797">
        <v>864.60937500000023</v>
      </c>
      <c r="AG64" s="570">
        <v>1080.76171875</v>
      </c>
      <c r="AH64" s="797">
        <v>1296.9140625</v>
      </c>
      <c r="AI64" s="797">
        <v>2161.5234375</v>
      </c>
      <c r="AJ64" s="797">
        <v>3242.28515625</v>
      </c>
      <c r="AK64" s="797">
        <v>4323.046875</v>
      </c>
      <c r="AM64" s="797"/>
      <c r="AN64" s="797">
        <v>108.07617187500003</v>
      </c>
      <c r="AO64" s="797">
        <v>216.15234375000006</v>
      </c>
      <c r="AP64" s="797">
        <v>324.228515625</v>
      </c>
      <c r="AQ64" s="797">
        <v>432.30468750000011</v>
      </c>
      <c r="AR64" s="797">
        <v>648.45703125</v>
      </c>
      <c r="AS64" s="797">
        <v>864.60937500000023</v>
      </c>
      <c r="AT64" s="570">
        <v>1080.76171875</v>
      </c>
      <c r="AU64" s="797">
        <v>1296.9140625</v>
      </c>
      <c r="AV64" s="797">
        <v>2161.5234375</v>
      </c>
      <c r="AW64" s="797">
        <v>3242.28515625</v>
      </c>
      <c r="AX64" s="797">
        <v>4323.046875</v>
      </c>
    </row>
    <row r="65" spans="1:50" hidden="1" x14ac:dyDescent="0.2">
      <c r="I65" s="610"/>
      <c r="L65" s="919"/>
      <c r="N65" s="797"/>
      <c r="O65" s="797"/>
      <c r="P65" s="797"/>
      <c r="Q65" s="797"/>
      <c r="R65" s="797"/>
      <c r="S65" s="797"/>
      <c r="T65" s="610"/>
      <c r="U65" s="797"/>
      <c r="V65" s="797"/>
      <c r="W65" s="797"/>
      <c r="X65" s="797"/>
      <c r="Z65" s="797"/>
      <c r="AA65" s="797">
        <v>25</v>
      </c>
      <c r="AB65" s="797">
        <v>50</v>
      </c>
      <c r="AC65" s="797">
        <v>75</v>
      </c>
      <c r="AD65" s="797">
        <v>100</v>
      </c>
      <c r="AE65" s="797">
        <v>150</v>
      </c>
      <c r="AF65" s="797">
        <v>200</v>
      </c>
      <c r="AG65" s="570">
        <v>250</v>
      </c>
      <c r="AH65" s="797">
        <v>300</v>
      </c>
      <c r="AI65" s="797">
        <v>500</v>
      </c>
      <c r="AJ65" s="797">
        <v>750</v>
      </c>
      <c r="AK65" s="797">
        <v>1000</v>
      </c>
      <c r="AM65" s="797"/>
      <c r="AN65" s="797">
        <v>25</v>
      </c>
      <c r="AO65" s="797">
        <v>50</v>
      </c>
      <c r="AP65" s="797">
        <v>75</v>
      </c>
      <c r="AQ65" s="797">
        <v>100</v>
      </c>
      <c r="AR65" s="797">
        <v>150</v>
      </c>
      <c r="AS65" s="797">
        <v>200</v>
      </c>
      <c r="AT65" s="570">
        <v>250</v>
      </c>
      <c r="AU65" s="797">
        <v>300</v>
      </c>
      <c r="AV65" s="797">
        <v>500</v>
      </c>
      <c r="AW65" s="797">
        <v>750</v>
      </c>
      <c r="AX65" s="797">
        <v>1000</v>
      </c>
    </row>
    <row r="66" spans="1:50" x14ac:dyDescent="0.2">
      <c r="A66" s="997" t="s">
        <v>707</v>
      </c>
      <c r="B66" s="997"/>
      <c r="C66" s="997" t="s">
        <v>710</v>
      </c>
      <c r="I66" s="610"/>
      <c r="L66" s="919"/>
      <c r="N66" s="797"/>
      <c r="O66" s="797"/>
      <c r="P66" s="797"/>
      <c r="Q66" s="797"/>
      <c r="R66" s="797"/>
      <c r="S66" s="797"/>
      <c r="T66" s="610"/>
      <c r="U66" s="797"/>
      <c r="V66" s="797"/>
      <c r="W66" s="797"/>
      <c r="X66" s="797"/>
      <c r="Z66" t="s">
        <v>524</v>
      </c>
      <c r="AA66" s="610">
        <f t="shared" ref="AA66:AK68" si="28">SUMIF($M$64:$M$75,$Z66,N$64:N$75)</f>
        <v>0</v>
      </c>
      <c r="AB66" s="610">
        <f t="shared" si="28"/>
        <v>0</v>
      </c>
      <c r="AC66" s="610">
        <f t="shared" si="28"/>
        <v>0</v>
      </c>
      <c r="AD66" s="610">
        <f t="shared" si="28"/>
        <v>0</v>
      </c>
      <c r="AE66" s="610">
        <f t="shared" si="28"/>
        <v>0</v>
      </c>
      <c r="AF66" s="610">
        <f t="shared" si="28"/>
        <v>0</v>
      </c>
      <c r="AG66" s="610">
        <f t="shared" si="28"/>
        <v>0</v>
      </c>
      <c r="AH66" s="610">
        <f t="shared" si="28"/>
        <v>0</v>
      </c>
      <c r="AI66" s="610">
        <f t="shared" si="28"/>
        <v>0</v>
      </c>
      <c r="AJ66" s="610">
        <f t="shared" si="28"/>
        <v>0</v>
      </c>
      <c r="AK66" s="610">
        <f t="shared" si="28"/>
        <v>0</v>
      </c>
      <c r="AM66" t="s">
        <v>524</v>
      </c>
      <c r="AN66" s="96" t="e">
        <f>AA66/AA$70</f>
        <v>#DIV/0!</v>
      </c>
      <c r="AO66" s="96" t="e">
        <f t="shared" ref="AO66:AX68" si="29">AB66/AB$70</f>
        <v>#DIV/0!</v>
      </c>
      <c r="AP66" s="96" t="e">
        <f t="shared" si="29"/>
        <v>#DIV/0!</v>
      </c>
      <c r="AQ66" s="96" t="e">
        <f t="shared" si="29"/>
        <v>#DIV/0!</v>
      </c>
      <c r="AR66" s="96" t="e">
        <f t="shared" si="29"/>
        <v>#DIV/0!</v>
      </c>
      <c r="AS66" s="96" t="e">
        <f t="shared" si="29"/>
        <v>#DIV/0!</v>
      </c>
      <c r="AT66" s="96" t="e">
        <f t="shared" si="29"/>
        <v>#DIV/0!</v>
      </c>
      <c r="AU66" s="96" t="e">
        <f t="shared" si="29"/>
        <v>#DIV/0!</v>
      </c>
      <c r="AV66" s="96" t="e">
        <f t="shared" si="29"/>
        <v>#DIV/0!</v>
      </c>
      <c r="AW66" s="96" t="e">
        <f t="shared" si="29"/>
        <v>#DIV/0!</v>
      </c>
      <c r="AX66" s="96" t="e">
        <f t="shared" si="29"/>
        <v>#DIV/0!</v>
      </c>
    </row>
    <row r="67" spans="1:50" x14ac:dyDescent="0.2">
      <c r="A67" s="824" t="s">
        <v>708</v>
      </c>
      <c r="B67" s="824"/>
      <c r="C67" s="998">
        <f>IF(362.16*EXP(-0.0007*B31)*10000&lt;1774000,1774000,362.16*EXP(-0.0007*B31)*10000)</f>
        <v>2204032.1443461003</v>
      </c>
      <c r="D67" t="s">
        <v>974</v>
      </c>
      <c r="E67">
        <f>IF(362.16*EXP(-0.0007*B31)*10000&lt;1774000,1774000,362.16*EXP(-0.0007*B31)*10000)</f>
        <v>2204032.1443461003</v>
      </c>
      <c r="F67">
        <f>IF(B31&lt;2000,362.16*EXP(-0.0007*B31)*10000,362.16*EXP(-0.0007*2000)*10000)</f>
        <v>2204032.1443461003</v>
      </c>
      <c r="I67" s="610"/>
      <c r="L67" s="919"/>
      <c r="N67" s="797"/>
      <c r="O67" s="797"/>
      <c r="P67" s="797"/>
      <c r="Q67" s="797"/>
      <c r="R67" s="797"/>
      <c r="S67" s="797"/>
      <c r="T67" s="610"/>
      <c r="U67" s="797"/>
      <c r="V67" s="797"/>
      <c r="W67" s="797"/>
      <c r="X67" s="797"/>
      <c r="Z67" t="s">
        <v>525</v>
      </c>
      <c r="AA67" s="610">
        <f t="shared" si="28"/>
        <v>0</v>
      </c>
      <c r="AB67" s="610">
        <f t="shared" si="28"/>
        <v>0</v>
      </c>
      <c r="AC67" s="610">
        <f t="shared" si="28"/>
        <v>0</v>
      </c>
      <c r="AD67" s="610">
        <f t="shared" si="28"/>
        <v>0</v>
      </c>
      <c r="AE67" s="610">
        <f t="shared" si="28"/>
        <v>0</v>
      </c>
      <c r="AF67" s="610">
        <f t="shared" si="28"/>
        <v>0</v>
      </c>
      <c r="AG67" s="610">
        <f t="shared" si="28"/>
        <v>0</v>
      </c>
      <c r="AH67" s="610">
        <f t="shared" si="28"/>
        <v>0</v>
      </c>
      <c r="AI67" s="610">
        <f t="shared" si="28"/>
        <v>0</v>
      </c>
      <c r="AJ67" s="610">
        <f t="shared" si="28"/>
        <v>0</v>
      </c>
      <c r="AK67" s="610">
        <f t="shared" si="28"/>
        <v>0</v>
      </c>
      <c r="AM67" t="s">
        <v>525</v>
      </c>
      <c r="AN67" s="96" t="e">
        <f t="shared" ref="AN67:AN68" si="30">AA67/AA$70</f>
        <v>#DIV/0!</v>
      </c>
      <c r="AO67" s="96" t="e">
        <f t="shared" si="29"/>
        <v>#DIV/0!</v>
      </c>
      <c r="AP67" s="96" t="e">
        <f t="shared" si="29"/>
        <v>#DIV/0!</v>
      </c>
      <c r="AQ67" s="96" t="e">
        <f t="shared" si="29"/>
        <v>#DIV/0!</v>
      </c>
      <c r="AR67" s="96" t="e">
        <f t="shared" si="29"/>
        <v>#DIV/0!</v>
      </c>
      <c r="AS67" s="96" t="e">
        <f t="shared" si="29"/>
        <v>#DIV/0!</v>
      </c>
      <c r="AT67" s="96" t="e">
        <f t="shared" si="29"/>
        <v>#DIV/0!</v>
      </c>
      <c r="AU67" s="96" t="e">
        <f t="shared" si="29"/>
        <v>#DIV/0!</v>
      </c>
      <c r="AV67" s="96" t="e">
        <f t="shared" si="29"/>
        <v>#DIV/0!</v>
      </c>
      <c r="AW67" s="96" t="e">
        <f t="shared" si="29"/>
        <v>#DIV/0!</v>
      </c>
      <c r="AX67" s="96" t="e">
        <f t="shared" si="29"/>
        <v>#DIV/0!</v>
      </c>
    </row>
    <row r="68" spans="1:50" x14ac:dyDescent="0.2">
      <c r="A68" s="824" t="s">
        <v>708</v>
      </c>
      <c r="B68" s="824"/>
      <c r="C68" s="998">
        <f>IF(362.16*EXP(-0.0007*B31)*10000&lt;1774000,1774000,362.16*EXP(-0.0007*B31)*10000)</f>
        <v>2204032.1443461003</v>
      </c>
      <c r="D68" t="s">
        <v>975</v>
      </c>
      <c r="I68" s="610"/>
      <c r="L68" s="919"/>
      <c r="N68" s="797"/>
      <c r="O68" s="797"/>
      <c r="P68" s="797"/>
      <c r="Q68" s="797"/>
      <c r="R68" s="797"/>
      <c r="S68" s="797"/>
      <c r="T68" s="610"/>
      <c r="U68" s="797"/>
      <c r="V68" s="797"/>
      <c r="W68" s="797"/>
      <c r="X68" s="797"/>
      <c r="Z68" t="s">
        <v>526</v>
      </c>
      <c r="AA68" s="610">
        <f t="shared" si="28"/>
        <v>0</v>
      </c>
      <c r="AB68" s="610">
        <f t="shared" si="28"/>
        <v>0</v>
      </c>
      <c r="AC68" s="610">
        <f t="shared" si="28"/>
        <v>0</v>
      </c>
      <c r="AD68" s="610">
        <f t="shared" si="28"/>
        <v>0</v>
      </c>
      <c r="AE68" s="610">
        <f t="shared" si="28"/>
        <v>0</v>
      </c>
      <c r="AF68" s="610">
        <f t="shared" si="28"/>
        <v>0</v>
      </c>
      <c r="AG68" s="610">
        <f t="shared" si="28"/>
        <v>0</v>
      </c>
      <c r="AH68" s="610">
        <f t="shared" si="28"/>
        <v>0</v>
      </c>
      <c r="AI68" s="610">
        <f t="shared" si="28"/>
        <v>0</v>
      </c>
      <c r="AJ68" s="610">
        <f t="shared" si="28"/>
        <v>0</v>
      </c>
      <c r="AK68" s="610">
        <f t="shared" si="28"/>
        <v>0</v>
      </c>
      <c r="AM68" t="s">
        <v>526</v>
      </c>
      <c r="AN68" s="96" t="e">
        <f t="shared" si="30"/>
        <v>#DIV/0!</v>
      </c>
      <c r="AO68" s="96" t="e">
        <f t="shared" si="29"/>
        <v>#DIV/0!</v>
      </c>
      <c r="AP68" s="96" t="e">
        <f t="shared" si="29"/>
        <v>#DIV/0!</v>
      </c>
      <c r="AQ68" s="96" t="e">
        <f t="shared" si="29"/>
        <v>#DIV/0!</v>
      </c>
      <c r="AR68" s="96" t="e">
        <f t="shared" si="29"/>
        <v>#DIV/0!</v>
      </c>
      <c r="AS68" s="96" t="e">
        <f t="shared" si="29"/>
        <v>#DIV/0!</v>
      </c>
      <c r="AT68" s="96" t="e">
        <f t="shared" si="29"/>
        <v>#DIV/0!</v>
      </c>
      <c r="AU68" s="96" t="e">
        <f t="shared" si="29"/>
        <v>#DIV/0!</v>
      </c>
      <c r="AV68" s="96" t="e">
        <f t="shared" si="29"/>
        <v>#DIV/0!</v>
      </c>
      <c r="AW68" s="96" t="e">
        <f t="shared" si="29"/>
        <v>#DIV/0!</v>
      </c>
      <c r="AX68" s="96" t="e">
        <f t="shared" si="29"/>
        <v>#DIV/0!</v>
      </c>
    </row>
    <row r="69" spans="1:50" x14ac:dyDescent="0.2">
      <c r="A69" s="824" t="s">
        <v>709</v>
      </c>
      <c r="B69" s="824"/>
      <c r="C69" s="998">
        <f>IF(57.12*EXP(-0.001272*$B$31)*10000&lt;105000,105000,57.12*EXP(-0.001272*$B$31)*10000)</f>
        <v>231665.93606440321</v>
      </c>
      <c r="D69" t="s">
        <v>977</v>
      </c>
      <c r="E69" t="b">
        <f>C69=IF(27.133*EXP(-0.001*B31)*10000,10500,27.133*EXP(-0.001*B31)*10000)</f>
        <v>0</v>
      </c>
      <c r="F69">
        <f>IF(B31&lt;2000,27.133*EXP(-0.001*B31)*10000,27.133*EXP(-0.001*2000)*10000)</f>
        <v>133468.83685714559</v>
      </c>
      <c r="I69" s="610"/>
      <c r="L69" s="919"/>
      <c r="N69" s="797"/>
      <c r="O69" s="797"/>
      <c r="P69" s="797"/>
      <c r="Q69" s="797"/>
      <c r="R69" s="797"/>
      <c r="S69" s="797"/>
      <c r="T69" s="610"/>
      <c r="U69" s="797"/>
      <c r="V69" s="797"/>
      <c r="W69" s="797"/>
      <c r="X69" s="797"/>
      <c r="Z69" s="919"/>
      <c r="AA69" s="610"/>
      <c r="AB69" s="610"/>
      <c r="AC69" s="610"/>
      <c r="AD69" s="610"/>
      <c r="AE69" s="610"/>
      <c r="AF69" s="610"/>
      <c r="AG69" s="610"/>
      <c r="AH69" s="610"/>
      <c r="AI69" s="610"/>
      <c r="AJ69" s="610"/>
      <c r="AK69" s="610"/>
      <c r="AM69" s="919"/>
      <c r="AN69" s="96"/>
      <c r="AO69" s="96"/>
      <c r="AP69" s="96"/>
      <c r="AQ69" s="96"/>
      <c r="AR69" s="96"/>
      <c r="AS69" s="96"/>
      <c r="AT69" s="96"/>
      <c r="AU69" s="96"/>
      <c r="AV69" s="96"/>
      <c r="AW69" s="96"/>
      <c r="AX69" s="96"/>
    </row>
    <row r="70" spans="1:50" x14ac:dyDescent="0.2">
      <c r="A70" s="824" t="s">
        <v>709</v>
      </c>
      <c r="B70" s="824"/>
      <c r="C70" s="998">
        <f>IF(57.12*EXP(-0.001272*$B$31)*10000&lt;105000,105000,57.12*EXP(-0.001272*$B$31)*10000)</f>
        <v>231665.93606440321</v>
      </c>
      <c r="D70" t="s">
        <v>978</v>
      </c>
      <c r="I70" s="610"/>
      <c r="L70" s="919"/>
      <c r="N70" s="797"/>
      <c r="O70" s="797"/>
      <c r="P70" s="797"/>
      <c r="Q70" s="797"/>
      <c r="R70" s="797"/>
      <c r="S70" s="797"/>
      <c r="T70" s="610"/>
      <c r="U70" s="797"/>
      <c r="V70" s="797"/>
      <c r="W70" s="797"/>
      <c r="X70" s="797"/>
      <c r="AA70" s="611">
        <f>SUM(AA66:AA69)</f>
        <v>0</v>
      </c>
      <c r="AB70" s="611">
        <f t="shared" ref="AB70" si="31">SUM(AB66:AB69)</f>
        <v>0</v>
      </c>
      <c r="AC70" s="611">
        <f t="shared" ref="AC70" si="32">SUM(AC66:AC69)</f>
        <v>0</v>
      </c>
      <c r="AD70" s="611">
        <f t="shared" ref="AD70" si="33">SUM(AD66:AD69)</f>
        <v>0</v>
      </c>
      <c r="AE70" s="611">
        <f t="shared" ref="AE70" si="34">SUM(AE66:AE69)</f>
        <v>0</v>
      </c>
      <c r="AF70" s="611">
        <f t="shared" ref="AF70" si="35">SUM(AF66:AF69)</f>
        <v>0</v>
      </c>
      <c r="AG70" s="611">
        <f t="shared" ref="AG70" si="36">SUM(AG66:AG69)</f>
        <v>0</v>
      </c>
      <c r="AH70" s="611">
        <f t="shared" ref="AH70" si="37">SUM(AH66:AH69)</f>
        <v>0</v>
      </c>
      <c r="AI70" s="611">
        <f t="shared" ref="AI70" si="38">SUM(AI66:AI69)</f>
        <v>0</v>
      </c>
      <c r="AJ70" s="611">
        <f t="shared" ref="AJ70" si="39">SUM(AJ66:AJ69)</f>
        <v>0</v>
      </c>
      <c r="AK70" s="611">
        <f t="shared" ref="AK70" si="40">SUM(AK66:AK69)</f>
        <v>0</v>
      </c>
      <c r="AN70" s="205" t="e">
        <f>SUM(AN66:AN69)</f>
        <v>#DIV/0!</v>
      </c>
      <c r="AO70" s="205" t="e">
        <f t="shared" ref="AO70" si="41">SUM(AO66:AO69)</f>
        <v>#DIV/0!</v>
      </c>
      <c r="AP70" s="205" t="e">
        <f t="shared" ref="AP70" si="42">SUM(AP66:AP69)</f>
        <v>#DIV/0!</v>
      </c>
      <c r="AQ70" s="205" t="e">
        <f t="shared" ref="AQ70" si="43">SUM(AQ66:AQ69)</f>
        <v>#DIV/0!</v>
      </c>
      <c r="AR70" s="205" t="e">
        <f t="shared" ref="AR70" si="44">SUM(AR66:AR69)</f>
        <v>#DIV/0!</v>
      </c>
      <c r="AS70" s="205" t="e">
        <f t="shared" ref="AS70" si="45">SUM(AS66:AS69)</f>
        <v>#DIV/0!</v>
      </c>
      <c r="AT70" s="205" t="e">
        <f t="shared" ref="AT70" si="46">SUM(AT66:AT69)</f>
        <v>#DIV/0!</v>
      </c>
      <c r="AU70" s="205" t="e">
        <f t="shared" ref="AU70" si="47">SUM(AU66:AU69)</f>
        <v>#DIV/0!</v>
      </c>
      <c r="AV70" s="205" t="e">
        <f t="shared" ref="AV70" si="48">SUM(AV66:AV69)</f>
        <v>#DIV/0!</v>
      </c>
      <c r="AW70" s="205" t="e">
        <f t="shared" ref="AW70" si="49">SUM(AW66:AW69)</f>
        <v>#DIV/0!</v>
      </c>
      <c r="AX70" s="205" t="e">
        <f t="shared" ref="AX70" si="50">SUM(AX66:AX69)</f>
        <v>#DIV/0!</v>
      </c>
    </row>
    <row r="71" spans="1:50" x14ac:dyDescent="0.2">
      <c r="I71" s="610"/>
      <c r="L71" s="919"/>
      <c r="N71" s="797"/>
      <c r="O71" s="797"/>
      <c r="P71" s="797"/>
      <c r="Q71" s="797"/>
      <c r="R71" s="797"/>
      <c r="S71" s="797"/>
      <c r="T71" s="610"/>
      <c r="U71" s="797"/>
      <c r="V71" s="797"/>
      <c r="W71" s="797"/>
      <c r="X71" s="797"/>
    </row>
    <row r="72" spans="1:50" x14ac:dyDescent="0.2">
      <c r="D72" s="996" t="s">
        <v>762</v>
      </c>
      <c r="E72" s="996" t="s">
        <v>763</v>
      </c>
      <c r="F72" s="570"/>
      <c r="I72" s="610"/>
      <c r="L72" s="919"/>
      <c r="N72" s="797"/>
      <c r="O72" s="797"/>
      <c r="P72" s="797"/>
      <c r="Q72" s="797"/>
      <c r="R72" s="797"/>
      <c r="S72" s="797"/>
      <c r="T72" s="610"/>
      <c r="U72" s="797"/>
      <c r="V72" s="797"/>
      <c r="W72" s="797"/>
      <c r="X72" s="797"/>
    </row>
    <row r="73" spans="1:50" x14ac:dyDescent="0.2">
      <c r="A73" s="824" t="s">
        <v>847</v>
      </c>
      <c r="D73" s="994"/>
      <c r="E73" s="995">
        <f>IF(入門編_計算シート!K32&lt;1000,入力条件の変換!C67*入門編_計算シート!K32,入力条件の変換!C68*入門編_計算シート!K32)/1000000</f>
        <v>1563.6897780339068</v>
      </c>
      <c r="I73" s="610"/>
      <c r="L73" s="919"/>
      <c r="N73" s="797"/>
      <c r="O73" s="797"/>
      <c r="P73" s="797"/>
      <c r="Q73" s="797"/>
      <c r="R73" s="797"/>
      <c r="S73" s="797"/>
      <c r="T73" s="610"/>
      <c r="U73" s="797"/>
      <c r="V73" s="797"/>
      <c r="W73" s="797"/>
      <c r="X73" s="797"/>
    </row>
    <row r="74" spans="1:50" x14ac:dyDescent="0.2">
      <c r="A74" s="824" t="s">
        <v>848</v>
      </c>
      <c r="D74" s="994">
        <v>0.75</v>
      </c>
      <c r="E74" s="995">
        <f>E73*D74</f>
        <v>1172.7673335254301</v>
      </c>
      <c r="I74" s="610"/>
      <c r="L74" s="919"/>
      <c r="N74" s="797"/>
      <c r="O74" s="797"/>
      <c r="P74" s="797"/>
      <c r="Q74" s="797"/>
      <c r="R74" s="797"/>
      <c r="S74" s="797"/>
      <c r="T74" s="610"/>
      <c r="U74" s="797"/>
      <c r="V74" s="797"/>
      <c r="W74" s="797"/>
      <c r="X74" s="797"/>
    </row>
    <row r="75" spans="1:50" x14ac:dyDescent="0.2">
      <c r="A75" s="824" t="s">
        <v>849</v>
      </c>
      <c r="D75" s="994">
        <v>0.25</v>
      </c>
      <c r="E75" s="995">
        <f>E73*D75</f>
        <v>390.9224445084767</v>
      </c>
      <c r="I75" s="610"/>
      <c r="L75" s="919"/>
      <c r="N75" s="797"/>
      <c r="O75" s="797"/>
      <c r="P75" s="797"/>
      <c r="Q75" s="797"/>
      <c r="R75" s="797"/>
      <c r="S75" s="797"/>
      <c r="T75" s="610"/>
      <c r="U75" s="797"/>
      <c r="V75" s="797"/>
      <c r="W75" s="797"/>
      <c r="X75" s="797"/>
    </row>
    <row r="76" spans="1:50" x14ac:dyDescent="0.2">
      <c r="B76" t="s">
        <v>713</v>
      </c>
      <c r="C76" t="s">
        <v>714</v>
      </c>
      <c r="D76" s="996" t="s">
        <v>762</v>
      </c>
      <c r="E76" s="996" t="s">
        <v>763</v>
      </c>
    </row>
    <row r="77" spans="1:50" x14ac:dyDescent="0.2">
      <c r="A77" t="s">
        <v>724</v>
      </c>
      <c r="D77" s="994"/>
      <c r="E77" s="995">
        <f>IF(入門編_計算シート!K32&lt;1000,入力条件の変換!C69*入門編_計算シート!K32,入力条件の変換!C70*入門編_計算シート!K32)/1000000</f>
        <v>164.35951584092641</v>
      </c>
      <c r="G77">
        <v>150</v>
      </c>
    </row>
    <row r="78" spans="1:50" x14ac:dyDescent="0.2">
      <c r="A78" t="s">
        <v>716</v>
      </c>
      <c r="B78" s="601">
        <f t="shared" ref="B78:C81" si="51">B96/B$103</f>
        <v>0.20547147846332944</v>
      </c>
      <c r="C78" s="601">
        <f t="shared" si="51"/>
        <v>0.55159005693653662</v>
      </c>
      <c r="D78" s="994">
        <v>0.35</v>
      </c>
      <c r="E78" s="995">
        <f>$E$77*D78</f>
        <v>57.525830544324236</v>
      </c>
      <c r="G78">
        <v>50</v>
      </c>
      <c r="H78" s="96">
        <f>G78/$G$77</f>
        <v>0.33333333333333331</v>
      </c>
    </row>
    <row r="79" spans="1:50" x14ac:dyDescent="0.2">
      <c r="A79" t="s">
        <v>717</v>
      </c>
      <c r="B79" s="601">
        <f t="shared" si="51"/>
        <v>0.27648428405122233</v>
      </c>
      <c r="C79" s="601">
        <f t="shared" si="51"/>
        <v>0</v>
      </c>
      <c r="D79" s="994">
        <v>0.15</v>
      </c>
      <c r="E79" s="995">
        <f>$E$77*D79</f>
        <v>24.653927376138959</v>
      </c>
      <c r="G79">
        <v>22</v>
      </c>
      <c r="H79" s="96">
        <f t="shared" ref="H79:H83" si="52">G79/$G$77</f>
        <v>0.14666666666666667</v>
      </c>
    </row>
    <row r="80" spans="1:50" x14ac:dyDescent="0.2">
      <c r="A80" t="s">
        <v>718</v>
      </c>
      <c r="B80" s="601">
        <f t="shared" si="51"/>
        <v>0</v>
      </c>
      <c r="C80" s="601">
        <f t="shared" si="51"/>
        <v>0.17067074017497569</v>
      </c>
      <c r="D80" s="994">
        <v>0.25</v>
      </c>
      <c r="E80" s="995">
        <f t="shared" ref="E80:E83" si="53">$E$77*D80</f>
        <v>41.089878960231601</v>
      </c>
      <c r="G80">
        <v>36</v>
      </c>
      <c r="H80" s="96">
        <f t="shared" si="52"/>
        <v>0.24</v>
      </c>
    </row>
    <row r="81" spans="1:8" x14ac:dyDescent="0.2">
      <c r="A81" t="s">
        <v>202</v>
      </c>
      <c r="B81" s="601">
        <f t="shared" si="51"/>
        <v>0.27939464493597205</v>
      </c>
      <c r="C81" s="601">
        <f t="shared" si="51"/>
        <v>0.27773920288848775</v>
      </c>
      <c r="D81" s="994">
        <v>0.15</v>
      </c>
      <c r="E81" s="995">
        <f>IF(B31=0,0,IF($E$77*D81&lt;4,4,$E$77*D81))</f>
        <v>24.653927376138959</v>
      </c>
      <c r="G81">
        <v>26</v>
      </c>
      <c r="H81" s="96">
        <f t="shared" si="52"/>
        <v>0.17333333333333334</v>
      </c>
    </row>
    <row r="82" spans="1:8" x14ac:dyDescent="0.2">
      <c r="A82" t="s">
        <v>317</v>
      </c>
      <c r="B82" s="601">
        <f>B101/B$103</f>
        <v>0.18044237485448195</v>
      </c>
      <c r="C82" s="601">
        <f>C101/C$103</f>
        <v>0</v>
      </c>
      <c r="D82" s="994">
        <v>0.1</v>
      </c>
      <c r="E82" s="995">
        <f>$E$77*D82</f>
        <v>16.435951584092642</v>
      </c>
    </row>
    <row r="83" spans="1:8" x14ac:dyDescent="0.2">
      <c r="A83" t="s">
        <v>372</v>
      </c>
      <c r="B83" s="601">
        <f>B100/B$103</f>
        <v>5.8207217694994179E-2</v>
      </c>
      <c r="C83" s="601">
        <f>C100/C$103</f>
        <v>0</v>
      </c>
      <c r="D83" s="994"/>
      <c r="E83" s="995">
        <f t="shared" si="53"/>
        <v>0</v>
      </c>
      <c r="G83">
        <v>9</v>
      </c>
      <c r="H83" s="96">
        <f t="shared" si="52"/>
        <v>0.06</v>
      </c>
    </row>
    <row r="84" spans="1:8" x14ac:dyDescent="0.2">
      <c r="B84" s="589">
        <f>SUM(B78:B83)</f>
        <v>0.99999999999999978</v>
      </c>
      <c r="C84" s="589">
        <f>SUM(C78:C83)</f>
        <v>1</v>
      </c>
      <c r="D84" s="567" t="s">
        <v>764</v>
      </c>
      <c r="E84" s="995">
        <f>IF(入門編_計算シート!$K$32&lt;1000,入力条件の変換!$C$70*入門編_計算シート!$K$32,$C$70*入門編_計算シート!$K$32)/1000000</f>
        <v>164.35951584092641</v>
      </c>
    </row>
    <row r="85" spans="1:8" x14ac:dyDescent="0.2">
      <c r="B85" s="206"/>
      <c r="C85" s="206"/>
      <c r="D85" s="206"/>
      <c r="E85" s="206"/>
      <c r="F85" s="206"/>
      <c r="G85" s="206"/>
      <c r="H85" s="206"/>
    </row>
    <row r="86" spans="1:8" x14ac:dyDescent="0.2">
      <c r="A86" t="s">
        <v>719</v>
      </c>
      <c r="E86" s="206"/>
      <c r="F86" s="206"/>
      <c r="G86" s="206"/>
      <c r="H86" s="206"/>
    </row>
    <row r="87" spans="1:8" x14ac:dyDescent="0.2">
      <c r="B87" t="s">
        <v>713</v>
      </c>
      <c r="C87" t="s">
        <v>714</v>
      </c>
      <c r="E87" s="96"/>
      <c r="F87" s="96"/>
      <c r="G87" s="96"/>
      <c r="H87" s="96"/>
    </row>
    <row r="88" spans="1:8" x14ac:dyDescent="0.2">
      <c r="A88" t="s">
        <v>715</v>
      </c>
      <c r="B88" s="206">
        <v>800</v>
      </c>
      <c r="C88">
        <v>90</v>
      </c>
      <c r="E88" s="96"/>
      <c r="F88" s="96"/>
      <c r="G88" s="96"/>
      <c r="H88" s="96"/>
    </row>
    <row r="89" spans="1:8" x14ac:dyDescent="0.2">
      <c r="A89" t="s">
        <v>716</v>
      </c>
      <c r="B89" s="206">
        <v>35300000</v>
      </c>
      <c r="C89" s="206">
        <v>15888000</v>
      </c>
      <c r="E89" s="96"/>
      <c r="F89" s="96"/>
      <c r="G89" s="96"/>
      <c r="H89" s="96"/>
    </row>
    <row r="90" spans="1:8" x14ac:dyDescent="0.2">
      <c r="A90" t="s">
        <v>717</v>
      </c>
      <c r="B90" s="206">
        <v>47500000</v>
      </c>
      <c r="C90" s="206"/>
      <c r="E90" s="96"/>
      <c r="F90" s="96"/>
      <c r="G90" s="96"/>
      <c r="H90" s="96"/>
    </row>
    <row r="91" spans="1:8" x14ac:dyDescent="0.2">
      <c r="A91" t="s">
        <v>718</v>
      </c>
      <c r="B91" s="206"/>
      <c r="C91" s="206">
        <v>4916000</v>
      </c>
      <c r="E91" s="96"/>
      <c r="F91" s="96"/>
      <c r="G91" s="96"/>
      <c r="H91" s="96"/>
    </row>
    <row r="92" spans="1:8" x14ac:dyDescent="0.2">
      <c r="A92" t="s">
        <v>202</v>
      </c>
      <c r="B92" s="206">
        <v>48000000</v>
      </c>
      <c r="C92" s="206">
        <v>8000000</v>
      </c>
    </row>
    <row r="93" spans="1:8" x14ac:dyDescent="0.2">
      <c r="A93" t="s">
        <v>372</v>
      </c>
      <c r="B93" s="206">
        <v>10000000</v>
      </c>
      <c r="C93" s="206"/>
    </row>
    <row r="94" spans="1:8" x14ac:dyDescent="0.2">
      <c r="A94" t="s">
        <v>317</v>
      </c>
      <c r="B94" s="206">
        <v>31000000</v>
      </c>
      <c r="C94" s="206"/>
    </row>
    <row r="96" spans="1:8" x14ac:dyDescent="0.2">
      <c r="A96" t="s">
        <v>716</v>
      </c>
      <c r="B96" s="206">
        <f t="shared" ref="B96:B102" si="54">B89/$B$88</f>
        <v>44125</v>
      </c>
      <c r="C96" s="206">
        <f t="shared" ref="C96:C102" si="55">C89/$C$88</f>
        <v>176533.33333333334</v>
      </c>
    </row>
    <row r="97" spans="1:3" x14ac:dyDescent="0.2">
      <c r="A97" t="s">
        <v>717</v>
      </c>
      <c r="B97" s="206">
        <f t="shared" si="54"/>
        <v>59375</v>
      </c>
      <c r="C97" s="206">
        <f t="shared" si="55"/>
        <v>0</v>
      </c>
    </row>
    <row r="98" spans="1:3" x14ac:dyDescent="0.2">
      <c r="A98" t="s">
        <v>718</v>
      </c>
      <c r="B98" s="206">
        <f t="shared" si="54"/>
        <v>0</v>
      </c>
      <c r="C98" s="206">
        <f t="shared" si="55"/>
        <v>54622.222222222219</v>
      </c>
    </row>
    <row r="99" spans="1:3" x14ac:dyDescent="0.2">
      <c r="A99" t="s">
        <v>202</v>
      </c>
      <c r="B99" s="206">
        <f t="shared" si="54"/>
        <v>60000</v>
      </c>
      <c r="C99" s="206">
        <f t="shared" si="55"/>
        <v>88888.888888888891</v>
      </c>
    </row>
    <row r="100" spans="1:3" x14ac:dyDescent="0.2">
      <c r="A100" t="s">
        <v>372</v>
      </c>
      <c r="B100" s="206">
        <f t="shared" si="54"/>
        <v>12500</v>
      </c>
      <c r="C100" s="206">
        <f t="shared" si="55"/>
        <v>0</v>
      </c>
    </row>
    <row r="101" spans="1:3" x14ac:dyDescent="0.2">
      <c r="A101" t="s">
        <v>317</v>
      </c>
      <c r="B101" s="206">
        <f t="shared" si="54"/>
        <v>38750</v>
      </c>
      <c r="C101" s="206">
        <f t="shared" si="55"/>
        <v>0</v>
      </c>
    </row>
    <row r="102" spans="1:3" x14ac:dyDescent="0.2">
      <c r="B102" s="206">
        <f t="shared" si="54"/>
        <v>0</v>
      </c>
      <c r="C102" s="206">
        <f t="shared" si="55"/>
        <v>0</v>
      </c>
    </row>
    <row r="103" spans="1:3" x14ac:dyDescent="0.2">
      <c r="B103" s="570">
        <f>SUM(B96:B102)</f>
        <v>214750</v>
      </c>
      <c r="C103" s="570">
        <f>SUM(C96:C102)</f>
        <v>320044.44444444444</v>
      </c>
    </row>
    <row r="106" spans="1:3" ht="17" thickBot="1" x14ac:dyDescent="0.25">
      <c r="A106" s="672" t="s">
        <v>481</v>
      </c>
      <c r="B106" s="673"/>
      <c r="C106" s="674"/>
    </row>
    <row r="107" spans="1:3" x14ac:dyDescent="0.2">
      <c r="A107" s="640" t="s">
        <v>435</v>
      </c>
      <c r="B107" s="1346" t="s">
        <v>499</v>
      </c>
      <c r="C107" s="1347"/>
    </row>
    <row r="108" spans="1:3" x14ac:dyDescent="0.2">
      <c r="A108" s="637" t="s">
        <v>150</v>
      </c>
      <c r="B108" s="667">
        <f>SUM(インプット!E30,インプット!E34,インプット!E38,インプット!E42,インプット!E46,インプット!E50,インプット!E54)*インプット!E13*インプット!E12</f>
        <v>16500</v>
      </c>
      <c r="C108" s="664" t="s">
        <v>437</v>
      </c>
    </row>
    <row r="109" spans="1:3" x14ac:dyDescent="0.2">
      <c r="A109" s="637" t="s">
        <v>436</v>
      </c>
      <c r="B109" s="668" t="str">
        <f>IF(LEFT(B107,1)="1",SUM(インプット!E30*インプット!E32,インプット!E34*インプット!E36,インプット!E38*インプット!E40,インプット!E42*インプット!E44,インプット!E46*インプット!E48,インプット!E50*インプット!E52,インプット!E54*インプット!E56),"-")</f>
        <v>-</v>
      </c>
      <c r="C109" s="665" t="s">
        <v>438</v>
      </c>
    </row>
    <row r="110" spans="1:3" x14ac:dyDescent="0.2">
      <c r="A110" s="638" t="s">
        <v>117</v>
      </c>
      <c r="B110" s="669">
        <f>IF(LEFT($B$107,1)="1",$B$109*インプット!E8/3.6,インプット!E6*インプット!E12*インプット!E13)</f>
        <v>5618984.7656250009</v>
      </c>
      <c r="C110" s="665" t="s">
        <v>502</v>
      </c>
    </row>
    <row r="111" spans="1:3" x14ac:dyDescent="0.2">
      <c r="A111" s="639" t="s">
        <v>151</v>
      </c>
      <c r="B111" s="669">
        <f>IF(LEFT($B$107,1)="1",$B$109*インプット!E9,インプット!E7*インプット!E12*インプット!E13)</f>
        <v>0</v>
      </c>
      <c r="C111" s="665" t="s">
        <v>438</v>
      </c>
    </row>
    <row r="112" spans="1:3" x14ac:dyDescent="0.2">
      <c r="A112" s="639" t="s">
        <v>152</v>
      </c>
      <c r="B112" s="669">
        <f>B110*(1-インプット!E10)</f>
        <v>4551377.6601562509</v>
      </c>
      <c r="C112" s="665" t="s">
        <v>502</v>
      </c>
    </row>
    <row r="113" spans="1:3" x14ac:dyDescent="0.2">
      <c r="A113" s="639" t="s">
        <v>153</v>
      </c>
      <c r="B113" s="670">
        <f>B111*(1-インプット!E11)</f>
        <v>0</v>
      </c>
      <c r="C113" s="665" t="s">
        <v>438</v>
      </c>
    </row>
    <row r="114" spans="1:3" ht="13.5" thickBot="1" x14ac:dyDescent="0.25">
      <c r="A114" s="641" t="s">
        <v>123</v>
      </c>
      <c r="B114" s="671">
        <f>インプット!E12*インプット!E13/365/24</f>
        <v>0.90410958904109595</v>
      </c>
      <c r="C114" s="666" t="s">
        <v>161</v>
      </c>
    </row>
  </sheetData>
  <sheetProtection password="B437" sheet="1" objects="1" scenarios="1"/>
  <mergeCells count="1">
    <mergeCell ref="B107:C107"/>
  </mergeCells>
  <phoneticPr fontId="4"/>
  <dataValidations count="2">
    <dataValidation type="list" allowBlank="1" showInputMessage="1" showErrorMessage="1" sqref="C106">
      <formula1>#REF!</formula1>
    </dataValidation>
    <dataValidation type="list" allowBlank="1" showInputMessage="1" showErrorMessage="1" sqref="B107">
      <formula1>$A$13:$A$14</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566"/>
  <sheetViews>
    <sheetView topLeftCell="B514" workbookViewId="0">
      <selection activeCell="D543" sqref="D543"/>
    </sheetView>
  </sheetViews>
  <sheetFormatPr defaultColWidth="8.90625" defaultRowHeight="11" x14ac:dyDescent="0.2"/>
  <cols>
    <col min="1" max="1" width="3.6328125" style="478" customWidth="1"/>
    <col min="2" max="2" width="28.6328125" style="458" customWidth="1"/>
    <col min="3" max="3" width="8.453125" style="426" customWidth="1"/>
    <col min="4" max="4" width="12.08984375" style="514" customWidth="1"/>
    <col min="5" max="5" width="14.90625" style="426" customWidth="1"/>
    <col min="6" max="34" width="13.6328125" style="426" customWidth="1"/>
    <col min="35" max="36" width="13.6328125" style="514" customWidth="1"/>
    <col min="37" max="37" width="13.36328125" style="426" customWidth="1"/>
    <col min="38" max="16384" width="8.90625" style="426"/>
  </cols>
  <sheetData>
    <row r="1" spans="1:37" s="456" customFormat="1" ht="11.5" x14ac:dyDescent="0.25">
      <c r="A1" s="457"/>
      <c r="B1" s="1348" t="s">
        <v>819</v>
      </c>
      <c r="C1" s="1349"/>
      <c r="D1" s="1014">
        <v>0</v>
      </c>
      <c r="E1" s="1015">
        <v>1</v>
      </c>
      <c r="F1" s="1015">
        <v>2</v>
      </c>
      <c r="G1" s="1015">
        <v>3</v>
      </c>
      <c r="H1" s="1015">
        <v>4</v>
      </c>
      <c r="I1" s="1015">
        <v>5</v>
      </c>
      <c r="J1" s="1015">
        <v>6</v>
      </c>
      <c r="K1" s="1015">
        <v>7</v>
      </c>
      <c r="L1" s="1015">
        <v>8</v>
      </c>
      <c r="M1" s="1015">
        <v>9</v>
      </c>
      <c r="N1" s="1015">
        <v>10</v>
      </c>
      <c r="O1" s="1015">
        <v>11</v>
      </c>
      <c r="P1" s="1015">
        <v>12</v>
      </c>
      <c r="Q1" s="1015">
        <v>13</v>
      </c>
      <c r="R1" s="1015">
        <v>14</v>
      </c>
      <c r="S1" s="1015">
        <v>15</v>
      </c>
      <c r="T1" s="1015">
        <v>16</v>
      </c>
      <c r="U1" s="1015">
        <v>17</v>
      </c>
      <c r="V1" s="1015">
        <v>18</v>
      </c>
      <c r="W1" s="1015">
        <v>19</v>
      </c>
      <c r="X1" s="1015">
        <v>20</v>
      </c>
      <c r="Y1" s="1015">
        <v>21</v>
      </c>
      <c r="Z1" s="1015">
        <v>22</v>
      </c>
      <c r="AA1" s="1015">
        <v>23</v>
      </c>
      <c r="AB1" s="1015">
        <v>24</v>
      </c>
      <c r="AC1" s="1015">
        <v>25</v>
      </c>
      <c r="AD1" s="1015">
        <v>26</v>
      </c>
      <c r="AE1" s="1015">
        <v>27</v>
      </c>
      <c r="AF1" s="1015">
        <v>28</v>
      </c>
      <c r="AG1" s="1015">
        <v>29</v>
      </c>
      <c r="AH1" s="1016">
        <v>30</v>
      </c>
      <c r="AI1" s="512"/>
      <c r="AJ1" s="512"/>
    </row>
    <row r="2" spans="1:37" s="456" customFormat="1" ht="11.5" x14ac:dyDescent="0.25">
      <c r="A2" s="457"/>
      <c r="B2" s="1017" t="s">
        <v>164</v>
      </c>
      <c r="C2" s="1018"/>
      <c r="D2" s="1019"/>
      <c r="E2" s="1020">
        <v>1</v>
      </c>
      <c r="F2" s="1020">
        <v>1</v>
      </c>
      <c r="G2" s="1020">
        <v>1</v>
      </c>
      <c r="H2" s="1020">
        <v>1</v>
      </c>
      <c r="I2" s="1020">
        <v>1</v>
      </c>
      <c r="J2" s="1020">
        <v>1</v>
      </c>
      <c r="K2" s="1020">
        <v>1</v>
      </c>
      <c r="L2" s="1020">
        <v>1</v>
      </c>
      <c r="M2" s="1020">
        <v>1</v>
      </c>
      <c r="N2" s="1020">
        <v>1</v>
      </c>
      <c r="O2" s="1020">
        <v>1</v>
      </c>
      <c r="P2" s="1020">
        <v>1</v>
      </c>
      <c r="Q2" s="1020">
        <v>1</v>
      </c>
      <c r="R2" s="1020">
        <v>1</v>
      </c>
      <c r="S2" s="1020">
        <v>1</v>
      </c>
      <c r="T2" s="1020">
        <v>1</v>
      </c>
      <c r="U2" s="1020">
        <v>1</v>
      </c>
      <c r="V2" s="1020">
        <v>1</v>
      </c>
      <c r="W2" s="1020">
        <v>1</v>
      </c>
      <c r="X2" s="1020">
        <v>1</v>
      </c>
      <c r="Y2" s="1020">
        <v>1</v>
      </c>
      <c r="Z2" s="1020">
        <v>1</v>
      </c>
      <c r="AA2" s="1020">
        <v>1</v>
      </c>
      <c r="AB2" s="1020">
        <v>1</v>
      </c>
      <c r="AC2" s="1020">
        <v>1</v>
      </c>
      <c r="AD2" s="1020">
        <v>1</v>
      </c>
      <c r="AE2" s="1020">
        <v>1</v>
      </c>
      <c r="AF2" s="1020">
        <v>1</v>
      </c>
      <c r="AG2" s="1020">
        <v>1</v>
      </c>
      <c r="AH2" s="1021">
        <v>1</v>
      </c>
      <c r="AI2" s="512"/>
      <c r="AJ2" s="512"/>
    </row>
    <row r="3" spans="1:37" s="456" customFormat="1" ht="11.5" x14ac:dyDescent="0.25">
      <c r="A3" s="457"/>
      <c r="B3" s="1022" t="s">
        <v>31</v>
      </c>
      <c r="C3" s="1023" t="s">
        <v>252</v>
      </c>
      <c r="D3" s="1024">
        <f>インプット!E15</f>
        <v>15</v>
      </c>
      <c r="E3" s="1024">
        <f>D3</f>
        <v>15</v>
      </c>
      <c r="F3" s="1024">
        <f t="shared" ref="F3:AH3" si="0">E3</f>
        <v>15</v>
      </c>
      <c r="G3" s="1024">
        <f t="shared" si="0"/>
        <v>15</v>
      </c>
      <c r="H3" s="1024">
        <f t="shared" si="0"/>
        <v>15</v>
      </c>
      <c r="I3" s="1024">
        <f t="shared" si="0"/>
        <v>15</v>
      </c>
      <c r="J3" s="1024">
        <f t="shared" si="0"/>
        <v>15</v>
      </c>
      <c r="K3" s="1024">
        <f t="shared" si="0"/>
        <v>15</v>
      </c>
      <c r="L3" s="1024">
        <f t="shared" si="0"/>
        <v>15</v>
      </c>
      <c r="M3" s="1024">
        <f t="shared" si="0"/>
        <v>15</v>
      </c>
      <c r="N3" s="1024">
        <f t="shared" si="0"/>
        <v>15</v>
      </c>
      <c r="O3" s="1024">
        <f t="shared" si="0"/>
        <v>15</v>
      </c>
      <c r="P3" s="1024">
        <f t="shared" si="0"/>
        <v>15</v>
      </c>
      <c r="Q3" s="1024">
        <f t="shared" si="0"/>
        <v>15</v>
      </c>
      <c r="R3" s="1024">
        <f t="shared" si="0"/>
        <v>15</v>
      </c>
      <c r="S3" s="1024">
        <f t="shared" si="0"/>
        <v>15</v>
      </c>
      <c r="T3" s="1024">
        <f t="shared" si="0"/>
        <v>15</v>
      </c>
      <c r="U3" s="1024">
        <f t="shared" si="0"/>
        <v>15</v>
      </c>
      <c r="V3" s="1024">
        <f t="shared" si="0"/>
        <v>15</v>
      </c>
      <c r="W3" s="1024">
        <f t="shared" si="0"/>
        <v>15</v>
      </c>
      <c r="X3" s="1024">
        <f t="shared" si="0"/>
        <v>15</v>
      </c>
      <c r="Y3" s="1024">
        <f t="shared" si="0"/>
        <v>15</v>
      </c>
      <c r="Z3" s="1024">
        <f t="shared" si="0"/>
        <v>15</v>
      </c>
      <c r="AA3" s="1024">
        <f t="shared" si="0"/>
        <v>15</v>
      </c>
      <c r="AB3" s="1024">
        <f t="shared" si="0"/>
        <v>15</v>
      </c>
      <c r="AC3" s="1024">
        <f t="shared" si="0"/>
        <v>15</v>
      </c>
      <c r="AD3" s="1024">
        <f t="shared" si="0"/>
        <v>15</v>
      </c>
      <c r="AE3" s="1024">
        <f t="shared" si="0"/>
        <v>15</v>
      </c>
      <c r="AF3" s="1024">
        <f t="shared" si="0"/>
        <v>15</v>
      </c>
      <c r="AG3" s="1024">
        <f t="shared" si="0"/>
        <v>15</v>
      </c>
      <c r="AH3" s="1024">
        <f t="shared" si="0"/>
        <v>15</v>
      </c>
      <c r="AI3" s="512"/>
      <c r="AJ3" s="512"/>
    </row>
    <row r="4" spans="1:37" s="456" customFormat="1" ht="11.5" x14ac:dyDescent="0.25">
      <c r="A4" s="457"/>
      <c r="B4" s="1022" t="s">
        <v>820</v>
      </c>
      <c r="C4" s="1023" t="s">
        <v>252</v>
      </c>
      <c r="D4" s="1025">
        <f>インプット!F15</f>
        <v>15</v>
      </c>
      <c r="E4" s="1024">
        <f>D4</f>
        <v>15</v>
      </c>
      <c r="F4" s="1024">
        <f t="shared" ref="F4:AH4" si="1">E4</f>
        <v>15</v>
      </c>
      <c r="G4" s="1024">
        <f t="shared" si="1"/>
        <v>15</v>
      </c>
      <c r="H4" s="1024">
        <f t="shared" si="1"/>
        <v>15</v>
      </c>
      <c r="I4" s="1024">
        <f t="shared" si="1"/>
        <v>15</v>
      </c>
      <c r="J4" s="1024">
        <f t="shared" si="1"/>
        <v>15</v>
      </c>
      <c r="K4" s="1024">
        <f t="shared" si="1"/>
        <v>15</v>
      </c>
      <c r="L4" s="1024">
        <f t="shared" si="1"/>
        <v>15</v>
      </c>
      <c r="M4" s="1024">
        <f t="shared" si="1"/>
        <v>15</v>
      </c>
      <c r="N4" s="1024">
        <f t="shared" si="1"/>
        <v>15</v>
      </c>
      <c r="O4" s="1024">
        <f t="shared" si="1"/>
        <v>15</v>
      </c>
      <c r="P4" s="1024">
        <f t="shared" si="1"/>
        <v>15</v>
      </c>
      <c r="Q4" s="1024">
        <f t="shared" si="1"/>
        <v>15</v>
      </c>
      <c r="R4" s="1024">
        <f t="shared" si="1"/>
        <v>15</v>
      </c>
      <c r="S4" s="1024">
        <f t="shared" si="1"/>
        <v>15</v>
      </c>
      <c r="T4" s="1024">
        <f t="shared" si="1"/>
        <v>15</v>
      </c>
      <c r="U4" s="1024">
        <f t="shared" si="1"/>
        <v>15</v>
      </c>
      <c r="V4" s="1024">
        <f t="shared" si="1"/>
        <v>15</v>
      </c>
      <c r="W4" s="1024">
        <f t="shared" si="1"/>
        <v>15</v>
      </c>
      <c r="X4" s="1024">
        <f t="shared" si="1"/>
        <v>15</v>
      </c>
      <c r="Y4" s="1024">
        <f t="shared" si="1"/>
        <v>15</v>
      </c>
      <c r="Z4" s="1024">
        <f t="shared" si="1"/>
        <v>15</v>
      </c>
      <c r="AA4" s="1024">
        <f t="shared" si="1"/>
        <v>15</v>
      </c>
      <c r="AB4" s="1024">
        <f t="shared" si="1"/>
        <v>15</v>
      </c>
      <c r="AC4" s="1024">
        <f t="shared" si="1"/>
        <v>15</v>
      </c>
      <c r="AD4" s="1024">
        <f t="shared" si="1"/>
        <v>15</v>
      </c>
      <c r="AE4" s="1024">
        <f t="shared" si="1"/>
        <v>15</v>
      </c>
      <c r="AF4" s="1024">
        <f t="shared" si="1"/>
        <v>15</v>
      </c>
      <c r="AG4" s="1024">
        <f t="shared" si="1"/>
        <v>15</v>
      </c>
      <c r="AH4" s="1024">
        <f t="shared" si="1"/>
        <v>15</v>
      </c>
      <c r="AI4" s="512"/>
      <c r="AJ4" s="512"/>
    </row>
    <row r="5" spans="1:37" s="456" customFormat="1" ht="11.5" x14ac:dyDescent="0.25">
      <c r="A5" s="457"/>
      <c r="B5" s="1022" t="s">
        <v>42</v>
      </c>
      <c r="C5" s="1023" t="s">
        <v>252</v>
      </c>
      <c r="D5" s="1025">
        <f>インプット!E15</f>
        <v>15</v>
      </c>
      <c r="E5" s="1024">
        <f>D5</f>
        <v>15</v>
      </c>
      <c r="F5" s="1024">
        <f t="shared" ref="F5:AH5" si="2">E5</f>
        <v>15</v>
      </c>
      <c r="G5" s="1024">
        <f t="shared" si="2"/>
        <v>15</v>
      </c>
      <c r="H5" s="1024">
        <f t="shared" si="2"/>
        <v>15</v>
      </c>
      <c r="I5" s="1024">
        <f t="shared" si="2"/>
        <v>15</v>
      </c>
      <c r="J5" s="1024">
        <f t="shared" si="2"/>
        <v>15</v>
      </c>
      <c r="K5" s="1024">
        <f t="shared" si="2"/>
        <v>15</v>
      </c>
      <c r="L5" s="1024">
        <f t="shared" si="2"/>
        <v>15</v>
      </c>
      <c r="M5" s="1024">
        <f t="shared" si="2"/>
        <v>15</v>
      </c>
      <c r="N5" s="1024">
        <f t="shared" si="2"/>
        <v>15</v>
      </c>
      <c r="O5" s="1024">
        <f t="shared" si="2"/>
        <v>15</v>
      </c>
      <c r="P5" s="1024">
        <f t="shared" si="2"/>
        <v>15</v>
      </c>
      <c r="Q5" s="1024">
        <f t="shared" si="2"/>
        <v>15</v>
      </c>
      <c r="R5" s="1024">
        <f t="shared" si="2"/>
        <v>15</v>
      </c>
      <c r="S5" s="1024">
        <f t="shared" si="2"/>
        <v>15</v>
      </c>
      <c r="T5" s="1024">
        <f t="shared" si="2"/>
        <v>15</v>
      </c>
      <c r="U5" s="1024">
        <f t="shared" si="2"/>
        <v>15</v>
      </c>
      <c r="V5" s="1024">
        <f t="shared" si="2"/>
        <v>15</v>
      </c>
      <c r="W5" s="1024">
        <f t="shared" si="2"/>
        <v>15</v>
      </c>
      <c r="X5" s="1024">
        <f t="shared" si="2"/>
        <v>15</v>
      </c>
      <c r="Y5" s="1024">
        <f t="shared" si="2"/>
        <v>15</v>
      </c>
      <c r="Z5" s="1024">
        <f t="shared" si="2"/>
        <v>15</v>
      </c>
      <c r="AA5" s="1024">
        <f t="shared" si="2"/>
        <v>15</v>
      </c>
      <c r="AB5" s="1024">
        <f t="shared" si="2"/>
        <v>15</v>
      </c>
      <c r="AC5" s="1024">
        <f t="shared" si="2"/>
        <v>15</v>
      </c>
      <c r="AD5" s="1024">
        <f t="shared" si="2"/>
        <v>15</v>
      </c>
      <c r="AE5" s="1024">
        <f t="shared" si="2"/>
        <v>15</v>
      </c>
      <c r="AF5" s="1024">
        <f t="shared" si="2"/>
        <v>15</v>
      </c>
      <c r="AG5" s="1024">
        <f t="shared" si="2"/>
        <v>15</v>
      </c>
      <c r="AH5" s="1024">
        <f t="shared" si="2"/>
        <v>15</v>
      </c>
      <c r="AI5" s="512"/>
      <c r="AJ5" s="512"/>
    </row>
    <row r="6" spans="1:37" s="456" customFormat="1" ht="12" thickBot="1" x14ac:dyDescent="0.3">
      <c r="A6" s="457"/>
      <c r="B6" s="361"/>
      <c r="C6" s="483"/>
      <c r="D6" s="593"/>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512"/>
      <c r="AJ6" s="512"/>
    </row>
    <row r="7" spans="1:37" ht="12" thickBot="1" x14ac:dyDescent="0.3">
      <c r="A7" s="459"/>
      <c r="B7" s="498" t="s">
        <v>248</v>
      </c>
      <c r="C7" s="460"/>
      <c r="D7" s="594">
        <v>0</v>
      </c>
      <c r="E7" s="461">
        <v>1</v>
      </c>
      <c r="F7" s="461">
        <v>2</v>
      </c>
      <c r="G7" s="461">
        <v>3</v>
      </c>
      <c r="H7" s="461">
        <v>4</v>
      </c>
      <c r="I7" s="461">
        <v>5</v>
      </c>
      <c r="J7" s="461">
        <v>6</v>
      </c>
      <c r="K7" s="461">
        <v>7</v>
      </c>
      <c r="L7" s="461">
        <v>8</v>
      </c>
      <c r="M7" s="461">
        <v>9</v>
      </c>
      <c r="N7" s="461">
        <v>10</v>
      </c>
      <c r="O7" s="461">
        <v>11</v>
      </c>
      <c r="P7" s="461">
        <v>12</v>
      </c>
      <c r="Q7" s="461">
        <v>13</v>
      </c>
      <c r="R7" s="461">
        <v>14</v>
      </c>
      <c r="S7" s="461">
        <v>15</v>
      </c>
      <c r="T7" s="461">
        <v>16</v>
      </c>
      <c r="U7" s="461">
        <v>17</v>
      </c>
      <c r="V7" s="461">
        <v>18</v>
      </c>
      <c r="W7" s="461">
        <v>19</v>
      </c>
      <c r="X7" s="462">
        <v>20</v>
      </c>
      <c r="Y7" s="462">
        <v>21</v>
      </c>
      <c r="Z7" s="462">
        <v>22</v>
      </c>
      <c r="AA7" s="462">
        <v>23</v>
      </c>
      <c r="AB7" s="462">
        <v>24</v>
      </c>
      <c r="AC7" s="462">
        <v>25</v>
      </c>
      <c r="AD7" s="462">
        <v>26</v>
      </c>
      <c r="AE7" s="462">
        <v>27</v>
      </c>
      <c r="AF7" s="462">
        <v>28</v>
      </c>
      <c r="AG7" s="462">
        <v>29</v>
      </c>
      <c r="AH7" s="476">
        <v>30</v>
      </c>
      <c r="AI7" s="513" t="s">
        <v>306</v>
      </c>
      <c r="AJ7" s="513" t="s">
        <v>270</v>
      </c>
      <c r="AK7" s="513" t="s">
        <v>271</v>
      </c>
    </row>
    <row r="8" spans="1:37" s="456" customFormat="1" ht="11.5" x14ac:dyDescent="0.25">
      <c r="A8" s="490" t="s">
        <v>249</v>
      </c>
      <c r="B8" s="361"/>
      <c r="C8" s="464" t="s">
        <v>247</v>
      </c>
      <c r="D8" s="593"/>
      <c r="E8" s="484">
        <f>計算シート!E17</f>
        <v>68270664.902343765</v>
      </c>
      <c r="F8" s="484">
        <f>計算シート!F17</f>
        <v>68270664.902343765</v>
      </c>
      <c r="G8" s="484">
        <f>計算シート!G17</f>
        <v>68270664.902343765</v>
      </c>
      <c r="H8" s="484">
        <f>計算シート!H17</f>
        <v>68270664.902343765</v>
      </c>
      <c r="I8" s="484">
        <f>計算シート!I17</f>
        <v>68270664.902343765</v>
      </c>
      <c r="J8" s="484">
        <f>計算シート!J17</f>
        <v>68270664.902343765</v>
      </c>
      <c r="K8" s="484">
        <f>計算シート!K17</f>
        <v>68270664.902343765</v>
      </c>
      <c r="L8" s="484">
        <f>計算シート!L17</f>
        <v>68270664.902343765</v>
      </c>
      <c r="M8" s="484">
        <f>計算シート!M17</f>
        <v>68270664.902343765</v>
      </c>
      <c r="N8" s="484">
        <f>計算シート!N17</f>
        <v>68270664.902343765</v>
      </c>
      <c r="O8" s="484">
        <f>計算シート!O17</f>
        <v>68270664.902343765</v>
      </c>
      <c r="P8" s="484">
        <f>計算シート!P17</f>
        <v>68270664.902343765</v>
      </c>
      <c r="Q8" s="484">
        <f>計算シート!Q17</f>
        <v>68270664.902343765</v>
      </c>
      <c r="R8" s="484">
        <f>計算シート!R17</f>
        <v>68270664.902343765</v>
      </c>
      <c r="S8" s="484">
        <f>計算シート!S17</f>
        <v>68270664.902343765</v>
      </c>
      <c r="T8" s="484">
        <f>計算シート!T17</f>
        <v>68270664.902343765</v>
      </c>
      <c r="U8" s="484">
        <f>計算シート!U17</f>
        <v>68270664.902343765</v>
      </c>
      <c r="V8" s="484">
        <f>計算シート!V17</f>
        <v>68270664.902343765</v>
      </c>
      <c r="W8" s="484">
        <f>計算シート!W17</f>
        <v>68270664.902343765</v>
      </c>
      <c r="X8" s="484">
        <f>計算シート!X17</f>
        <v>68270664.902343765</v>
      </c>
      <c r="Y8" s="484">
        <f>計算シート!Y17</f>
        <v>68270664.902343765</v>
      </c>
      <c r="Z8" s="484">
        <f>計算シート!Z17</f>
        <v>68270664.902343765</v>
      </c>
      <c r="AA8" s="484">
        <f>計算シート!AA17</f>
        <v>68270664.902343765</v>
      </c>
      <c r="AB8" s="484">
        <f>計算シート!AB17</f>
        <v>68270664.902343765</v>
      </c>
      <c r="AC8" s="484">
        <f>計算シート!AC17</f>
        <v>68270664.902343765</v>
      </c>
      <c r="AD8" s="484">
        <f>計算シート!AD17</f>
        <v>68270664.902343765</v>
      </c>
      <c r="AE8" s="484">
        <f>計算シート!AE17</f>
        <v>68270664.902343765</v>
      </c>
      <c r="AF8" s="484">
        <f>計算シート!AF17</f>
        <v>68270664.902343765</v>
      </c>
      <c r="AG8" s="484">
        <f>計算シート!AG17</f>
        <v>68270664.902343765</v>
      </c>
      <c r="AH8" s="484">
        <f>計算シート!AH17</f>
        <v>68270664.902343765</v>
      </c>
      <c r="AI8" s="509">
        <f>SUM(D8:N8)</f>
        <v>682706649.02343762</v>
      </c>
      <c r="AJ8" s="509">
        <f>SUM(D8:X8)</f>
        <v>1365413298.0468752</v>
      </c>
      <c r="AK8" s="509">
        <f>SUM(D8:AH8)</f>
        <v>2048119947.0703127</v>
      </c>
    </row>
    <row r="9" spans="1:37" s="456" customFormat="1" ht="11.5" x14ac:dyDescent="0.25">
      <c r="A9" s="490" t="s">
        <v>255</v>
      </c>
      <c r="B9" s="361"/>
      <c r="C9" s="485" t="s">
        <v>251</v>
      </c>
      <c r="D9" s="593"/>
      <c r="E9" s="484">
        <f>計算シート!E18</f>
        <v>5618984.7656250009</v>
      </c>
      <c r="F9" s="484">
        <f>計算シート!F18</f>
        <v>5618984.7656250009</v>
      </c>
      <c r="G9" s="484">
        <f>計算シート!G18</f>
        <v>5618984.7656250009</v>
      </c>
      <c r="H9" s="484">
        <f>計算シート!H18</f>
        <v>5618984.7656250009</v>
      </c>
      <c r="I9" s="484">
        <f>計算シート!I18</f>
        <v>5618984.7656250009</v>
      </c>
      <c r="J9" s="484">
        <f>計算シート!J18</f>
        <v>5618984.7656250009</v>
      </c>
      <c r="K9" s="484">
        <f>計算シート!K18</f>
        <v>5618984.7656250009</v>
      </c>
      <c r="L9" s="484">
        <f>計算シート!L18</f>
        <v>5618984.7656250009</v>
      </c>
      <c r="M9" s="484">
        <f>計算シート!M18</f>
        <v>5618984.7656250009</v>
      </c>
      <c r="N9" s="484">
        <f>計算シート!N18</f>
        <v>5618984.7656250009</v>
      </c>
      <c r="O9" s="484">
        <f>計算シート!O18</f>
        <v>5618984.7656250009</v>
      </c>
      <c r="P9" s="484">
        <f>計算シート!P18</f>
        <v>5618984.7656250009</v>
      </c>
      <c r="Q9" s="484">
        <f>計算シート!Q18</f>
        <v>5618984.7656250009</v>
      </c>
      <c r="R9" s="484">
        <f>計算シート!R18</f>
        <v>5618984.7656250009</v>
      </c>
      <c r="S9" s="484">
        <f>計算シート!S18</f>
        <v>5618984.7656250009</v>
      </c>
      <c r="T9" s="484">
        <f>計算シート!T18</f>
        <v>5618984.7656250009</v>
      </c>
      <c r="U9" s="484">
        <f>計算シート!U18</f>
        <v>5618984.7656250009</v>
      </c>
      <c r="V9" s="484">
        <f>計算シート!V18</f>
        <v>5618984.7656250009</v>
      </c>
      <c r="W9" s="484">
        <f>計算シート!W18</f>
        <v>5618984.7656250009</v>
      </c>
      <c r="X9" s="484">
        <f>計算シート!X18</f>
        <v>5618984.7656250009</v>
      </c>
      <c r="Y9" s="484">
        <f>計算シート!Y18</f>
        <v>5618984.7656250009</v>
      </c>
      <c r="Z9" s="484">
        <f>計算シート!Z18</f>
        <v>5618984.7656250009</v>
      </c>
      <c r="AA9" s="484">
        <f>計算シート!AA18</f>
        <v>5618984.7656250009</v>
      </c>
      <c r="AB9" s="484">
        <f>計算シート!AB18</f>
        <v>5618984.7656250009</v>
      </c>
      <c r="AC9" s="484">
        <f>計算シート!AC18</f>
        <v>5618984.7656250009</v>
      </c>
      <c r="AD9" s="484">
        <f>計算シート!AD18</f>
        <v>5618984.7656250009</v>
      </c>
      <c r="AE9" s="484">
        <f>計算シート!AE18</f>
        <v>5618984.7656250009</v>
      </c>
      <c r="AF9" s="484">
        <f>計算シート!AF18</f>
        <v>5618984.7656250009</v>
      </c>
      <c r="AG9" s="484">
        <f>計算シート!AG18</f>
        <v>5618984.7656250009</v>
      </c>
      <c r="AH9" s="484">
        <f>計算シート!AH18</f>
        <v>5618984.7656250009</v>
      </c>
      <c r="AI9" s="510">
        <f t="shared" ref="AI9:AI22" si="3">SUM(D9:N9)</f>
        <v>56189847.656250007</v>
      </c>
      <c r="AJ9" s="510">
        <f t="shared" ref="AJ9:AJ22" si="4">SUM(D9:X9)</f>
        <v>112379695.31250001</v>
      </c>
      <c r="AK9" s="510">
        <f t="shared" ref="AK9:AK22" si="5">SUM(D9:AH9)</f>
        <v>168569542.96875003</v>
      </c>
    </row>
    <row r="10" spans="1:37" s="456" customFormat="1" ht="11.5" x14ac:dyDescent="0.25">
      <c r="A10" s="490" t="s">
        <v>256</v>
      </c>
      <c r="B10" s="361"/>
      <c r="C10" s="485" t="s">
        <v>251</v>
      </c>
      <c r="D10" s="593"/>
      <c r="E10" s="484">
        <f>計算シート!E20</f>
        <v>4551377.6601562509</v>
      </c>
      <c r="F10" s="484">
        <f>計算シート!F20</f>
        <v>4551377.6601562509</v>
      </c>
      <c r="G10" s="484">
        <f>計算シート!G20</f>
        <v>4551377.6601562509</v>
      </c>
      <c r="H10" s="484">
        <f>計算シート!H20</f>
        <v>4551377.6601562509</v>
      </c>
      <c r="I10" s="484">
        <f>計算シート!I20</f>
        <v>4551377.6601562509</v>
      </c>
      <c r="J10" s="484">
        <f>計算シート!J20</f>
        <v>4551377.6601562509</v>
      </c>
      <c r="K10" s="484">
        <f>計算シート!K20</f>
        <v>4551377.6601562509</v>
      </c>
      <c r="L10" s="484">
        <f>計算シート!L20</f>
        <v>4551377.6601562509</v>
      </c>
      <c r="M10" s="484">
        <f>計算シート!M20</f>
        <v>4551377.6601562509</v>
      </c>
      <c r="N10" s="484">
        <f>計算シート!N20</f>
        <v>4551377.6601562509</v>
      </c>
      <c r="O10" s="484">
        <f>計算シート!O20</f>
        <v>4551377.6601562509</v>
      </c>
      <c r="P10" s="484">
        <f>計算シート!P20</f>
        <v>4551377.6601562509</v>
      </c>
      <c r="Q10" s="484">
        <f>計算シート!Q20</f>
        <v>4551377.6601562509</v>
      </c>
      <c r="R10" s="484">
        <f>計算シート!R20</f>
        <v>4551377.6601562509</v>
      </c>
      <c r="S10" s="484">
        <f>計算シート!S20</f>
        <v>4551377.6601562509</v>
      </c>
      <c r="T10" s="484">
        <f>計算シート!T20</f>
        <v>4551377.6601562509</v>
      </c>
      <c r="U10" s="484">
        <f>計算シート!U20</f>
        <v>4551377.6601562509</v>
      </c>
      <c r="V10" s="484">
        <f>計算シート!V20</f>
        <v>4551377.6601562509</v>
      </c>
      <c r="W10" s="484">
        <f>計算シート!W20</f>
        <v>4551377.6601562509</v>
      </c>
      <c r="X10" s="484">
        <f>計算シート!X20</f>
        <v>4551377.6601562509</v>
      </c>
      <c r="Y10" s="484">
        <f>計算シート!Y20</f>
        <v>4551377.6601562509</v>
      </c>
      <c r="Z10" s="484">
        <f>計算シート!Z20</f>
        <v>4551377.6601562509</v>
      </c>
      <c r="AA10" s="484">
        <f>計算シート!AA20</f>
        <v>4551377.6601562509</v>
      </c>
      <c r="AB10" s="484">
        <f>計算シート!AB20</f>
        <v>4551377.6601562509</v>
      </c>
      <c r="AC10" s="484">
        <f>計算シート!AC20</f>
        <v>4551377.6601562509</v>
      </c>
      <c r="AD10" s="484">
        <f>計算シート!AD20</f>
        <v>4551377.6601562509</v>
      </c>
      <c r="AE10" s="484">
        <f>計算シート!AE20</f>
        <v>4551377.6601562509</v>
      </c>
      <c r="AF10" s="484">
        <f>計算シート!AF20</f>
        <v>4551377.6601562509</v>
      </c>
      <c r="AG10" s="484">
        <f>計算シート!AG20</f>
        <v>4551377.6601562509</v>
      </c>
      <c r="AH10" s="484">
        <f>計算シート!AH20</f>
        <v>4551377.6601562509</v>
      </c>
      <c r="AI10" s="510">
        <f t="shared" si="3"/>
        <v>45513776.601562507</v>
      </c>
      <c r="AJ10" s="510">
        <f t="shared" si="4"/>
        <v>91027553.203125015</v>
      </c>
      <c r="AK10" s="510">
        <f t="shared" si="5"/>
        <v>136541329.80468753</v>
      </c>
    </row>
    <row r="11" spans="1:37" s="456" customFormat="1" ht="11.5" x14ac:dyDescent="0.25">
      <c r="A11" s="491" t="s">
        <v>257</v>
      </c>
      <c r="B11" s="486"/>
      <c r="C11" s="487" t="s">
        <v>252</v>
      </c>
      <c r="D11" s="595"/>
      <c r="E11" s="488">
        <f>計算シート!E21</f>
        <v>15</v>
      </c>
      <c r="F11" s="488">
        <f>計算シート!F21</f>
        <v>15</v>
      </c>
      <c r="G11" s="488">
        <f>計算シート!G21</f>
        <v>15</v>
      </c>
      <c r="H11" s="488">
        <f>計算シート!H21</f>
        <v>15</v>
      </c>
      <c r="I11" s="488">
        <f>計算シート!I21</f>
        <v>15</v>
      </c>
      <c r="J11" s="488">
        <f>計算シート!J21</f>
        <v>15</v>
      </c>
      <c r="K11" s="488">
        <f>計算シート!K21</f>
        <v>15</v>
      </c>
      <c r="L11" s="488">
        <f>計算シート!L21</f>
        <v>15</v>
      </c>
      <c r="M11" s="488">
        <f>計算シート!M21</f>
        <v>15</v>
      </c>
      <c r="N11" s="488">
        <f>計算シート!N21</f>
        <v>15</v>
      </c>
      <c r="O11" s="488">
        <f>計算シート!O21</f>
        <v>15</v>
      </c>
      <c r="P11" s="488">
        <f>計算シート!P21</f>
        <v>15</v>
      </c>
      <c r="Q11" s="488">
        <f>計算シート!Q21</f>
        <v>15</v>
      </c>
      <c r="R11" s="488">
        <f>計算シート!R21</f>
        <v>15</v>
      </c>
      <c r="S11" s="488">
        <f>計算シート!S21</f>
        <v>15</v>
      </c>
      <c r="T11" s="488">
        <f>計算シート!T21</f>
        <v>15</v>
      </c>
      <c r="U11" s="488">
        <f>計算シート!U21</f>
        <v>15</v>
      </c>
      <c r="V11" s="488">
        <f>計算シート!V21</f>
        <v>15</v>
      </c>
      <c r="W11" s="488">
        <f>計算シート!W21</f>
        <v>15</v>
      </c>
      <c r="X11" s="488">
        <f>計算シート!X21</f>
        <v>15</v>
      </c>
      <c r="Y11" s="488">
        <f>計算シート!Y21</f>
        <v>15</v>
      </c>
      <c r="Z11" s="488">
        <f>計算シート!Z21</f>
        <v>15</v>
      </c>
      <c r="AA11" s="488">
        <f>計算シート!AA21</f>
        <v>15</v>
      </c>
      <c r="AB11" s="488">
        <f>計算シート!AB21</f>
        <v>15</v>
      </c>
      <c r="AC11" s="488">
        <f>計算シート!AC21</f>
        <v>15</v>
      </c>
      <c r="AD11" s="488">
        <f>計算シート!AD21</f>
        <v>15</v>
      </c>
      <c r="AE11" s="488">
        <f>計算シート!AE21</f>
        <v>15</v>
      </c>
      <c r="AF11" s="488">
        <f>計算シート!AF21</f>
        <v>15</v>
      </c>
      <c r="AG11" s="488">
        <f>計算シート!AG21</f>
        <v>15</v>
      </c>
      <c r="AH11" s="488">
        <f>計算シート!AH21</f>
        <v>15</v>
      </c>
      <c r="AI11" s="533">
        <f>SUM(D11:N11)/10</f>
        <v>15</v>
      </c>
      <c r="AJ11" s="533">
        <f>SUM(D11:X11)/20</f>
        <v>15</v>
      </c>
      <c r="AK11" s="533">
        <f>SUM(D11:AH11)/30</f>
        <v>15</v>
      </c>
    </row>
    <row r="12" spans="1:37" s="456" customFormat="1" ht="11.5" x14ac:dyDescent="0.25">
      <c r="A12" s="490" t="s">
        <v>250</v>
      </c>
      <c r="B12" s="361"/>
      <c r="C12" s="464" t="s">
        <v>247</v>
      </c>
      <c r="D12" s="593"/>
      <c r="E12" s="484">
        <f>計算シート!E22</f>
        <v>0</v>
      </c>
      <c r="F12" s="484">
        <f>計算シート!F22</f>
        <v>0</v>
      </c>
      <c r="G12" s="484">
        <f>計算シート!G22</f>
        <v>0</v>
      </c>
      <c r="H12" s="484">
        <f>計算シート!H22</f>
        <v>0</v>
      </c>
      <c r="I12" s="484">
        <f>計算シート!I22</f>
        <v>0</v>
      </c>
      <c r="J12" s="484">
        <f>計算シート!J22</f>
        <v>0</v>
      </c>
      <c r="K12" s="484">
        <f>計算シート!K22</f>
        <v>0</v>
      </c>
      <c r="L12" s="484">
        <f>計算シート!L22</f>
        <v>0</v>
      </c>
      <c r="M12" s="484">
        <f>計算シート!M22</f>
        <v>0</v>
      </c>
      <c r="N12" s="484">
        <f>計算シート!N22</f>
        <v>0</v>
      </c>
      <c r="O12" s="484">
        <f>計算シート!O22</f>
        <v>0</v>
      </c>
      <c r="P12" s="484">
        <f>計算シート!P22</f>
        <v>0</v>
      </c>
      <c r="Q12" s="484">
        <f>計算シート!Q22</f>
        <v>0</v>
      </c>
      <c r="R12" s="484">
        <f>計算シート!R22</f>
        <v>0</v>
      </c>
      <c r="S12" s="484">
        <f>計算シート!S22</f>
        <v>0</v>
      </c>
      <c r="T12" s="484">
        <f>計算シート!T22</f>
        <v>0</v>
      </c>
      <c r="U12" s="484">
        <f>計算シート!U22</f>
        <v>0</v>
      </c>
      <c r="V12" s="484">
        <f>計算シート!V22</f>
        <v>0</v>
      </c>
      <c r="W12" s="484">
        <f>計算シート!W22</f>
        <v>0</v>
      </c>
      <c r="X12" s="484">
        <f>計算シート!X22</f>
        <v>0</v>
      </c>
      <c r="Y12" s="484">
        <f>計算シート!Y22</f>
        <v>0</v>
      </c>
      <c r="Z12" s="484">
        <f>計算シート!Z22</f>
        <v>0</v>
      </c>
      <c r="AA12" s="484">
        <f>計算シート!AA22</f>
        <v>0</v>
      </c>
      <c r="AB12" s="484">
        <f>計算シート!AB22</f>
        <v>0</v>
      </c>
      <c r="AC12" s="484">
        <f>計算シート!AC22</f>
        <v>0</v>
      </c>
      <c r="AD12" s="484">
        <f>計算シート!AD22</f>
        <v>0</v>
      </c>
      <c r="AE12" s="484">
        <f>計算シート!AE22</f>
        <v>0</v>
      </c>
      <c r="AF12" s="484">
        <f>計算シート!AF22</f>
        <v>0</v>
      </c>
      <c r="AG12" s="484">
        <f>計算シート!AG22</f>
        <v>0</v>
      </c>
      <c r="AH12" s="484">
        <f>計算シート!AH22</f>
        <v>0</v>
      </c>
      <c r="AI12" s="510">
        <f t="shared" si="3"/>
        <v>0</v>
      </c>
      <c r="AJ12" s="510">
        <f t="shared" si="4"/>
        <v>0</v>
      </c>
      <c r="AK12" s="510">
        <f t="shared" si="5"/>
        <v>0</v>
      </c>
    </row>
    <row r="13" spans="1:37" s="456" customFormat="1" ht="11.5" x14ac:dyDescent="0.25">
      <c r="A13" s="490" t="s">
        <v>258</v>
      </c>
      <c r="B13" s="361"/>
      <c r="C13" s="485" t="s">
        <v>253</v>
      </c>
      <c r="D13" s="593"/>
      <c r="E13" s="484">
        <f>計算シート!E23</f>
        <v>0</v>
      </c>
      <c r="F13" s="484">
        <f>計算シート!F23</f>
        <v>0</v>
      </c>
      <c r="G13" s="484">
        <f>計算シート!G23</f>
        <v>0</v>
      </c>
      <c r="H13" s="484">
        <f>計算シート!H23</f>
        <v>0</v>
      </c>
      <c r="I13" s="484">
        <f>計算シート!I23</f>
        <v>0</v>
      </c>
      <c r="J13" s="484">
        <f>計算シート!J23</f>
        <v>0</v>
      </c>
      <c r="K13" s="484">
        <f>計算シート!K23</f>
        <v>0</v>
      </c>
      <c r="L13" s="484">
        <f>計算シート!L23</f>
        <v>0</v>
      </c>
      <c r="M13" s="484">
        <f>計算シート!M23</f>
        <v>0</v>
      </c>
      <c r="N13" s="484">
        <f>計算シート!N23</f>
        <v>0</v>
      </c>
      <c r="O13" s="484">
        <f>計算シート!O23</f>
        <v>0</v>
      </c>
      <c r="P13" s="484">
        <f>計算シート!P23</f>
        <v>0</v>
      </c>
      <c r="Q13" s="484">
        <f>計算シート!Q23</f>
        <v>0</v>
      </c>
      <c r="R13" s="484">
        <f>計算シート!R23</f>
        <v>0</v>
      </c>
      <c r="S13" s="484">
        <f>計算シート!S23</f>
        <v>0</v>
      </c>
      <c r="T13" s="484">
        <f>計算シート!T23</f>
        <v>0</v>
      </c>
      <c r="U13" s="484">
        <f>計算シート!U23</f>
        <v>0</v>
      </c>
      <c r="V13" s="484">
        <f>計算シート!V23</f>
        <v>0</v>
      </c>
      <c r="W13" s="484">
        <f>計算シート!W23</f>
        <v>0</v>
      </c>
      <c r="X13" s="484">
        <f>計算シート!X23</f>
        <v>0</v>
      </c>
      <c r="Y13" s="484">
        <f>計算シート!Y23</f>
        <v>0</v>
      </c>
      <c r="Z13" s="484">
        <f>計算シート!Z23</f>
        <v>0</v>
      </c>
      <c r="AA13" s="484">
        <f>計算シート!AA23</f>
        <v>0</v>
      </c>
      <c r="AB13" s="484">
        <f>計算シート!AB23</f>
        <v>0</v>
      </c>
      <c r="AC13" s="484">
        <f>計算シート!AC23</f>
        <v>0</v>
      </c>
      <c r="AD13" s="484">
        <f>計算シート!AD23</f>
        <v>0</v>
      </c>
      <c r="AE13" s="484">
        <f>計算シート!AE23</f>
        <v>0</v>
      </c>
      <c r="AF13" s="484">
        <f>計算シート!AF23</f>
        <v>0</v>
      </c>
      <c r="AG13" s="484">
        <f>計算シート!AG23</f>
        <v>0</v>
      </c>
      <c r="AH13" s="484">
        <f>計算シート!AH23</f>
        <v>0</v>
      </c>
      <c r="AI13" s="510">
        <f t="shared" si="3"/>
        <v>0</v>
      </c>
      <c r="AJ13" s="510">
        <f t="shared" si="4"/>
        <v>0</v>
      </c>
      <c r="AK13" s="510">
        <f t="shared" si="5"/>
        <v>0</v>
      </c>
    </row>
    <row r="14" spans="1:37" s="456" customFormat="1" ht="11.5" x14ac:dyDescent="0.25">
      <c r="A14" s="490" t="s">
        <v>259</v>
      </c>
      <c r="B14" s="361"/>
      <c r="C14" s="485" t="s">
        <v>253</v>
      </c>
      <c r="D14" s="593"/>
      <c r="E14" s="484">
        <f>計算シート!E25</f>
        <v>0</v>
      </c>
      <c r="F14" s="484">
        <f>計算シート!F25</f>
        <v>0</v>
      </c>
      <c r="G14" s="484">
        <f>計算シート!G25</f>
        <v>0</v>
      </c>
      <c r="H14" s="484">
        <f>計算シート!H25</f>
        <v>0</v>
      </c>
      <c r="I14" s="484">
        <f>計算シート!I25</f>
        <v>0</v>
      </c>
      <c r="J14" s="484">
        <f>計算シート!J25</f>
        <v>0</v>
      </c>
      <c r="K14" s="484">
        <f>計算シート!K25</f>
        <v>0</v>
      </c>
      <c r="L14" s="484">
        <f>計算シート!L25</f>
        <v>0</v>
      </c>
      <c r="M14" s="484">
        <f>計算シート!M25</f>
        <v>0</v>
      </c>
      <c r="N14" s="484">
        <f>計算シート!N25</f>
        <v>0</v>
      </c>
      <c r="O14" s="484">
        <f>計算シート!O25</f>
        <v>0</v>
      </c>
      <c r="P14" s="484">
        <f>計算シート!P25</f>
        <v>0</v>
      </c>
      <c r="Q14" s="484">
        <f>計算シート!Q25</f>
        <v>0</v>
      </c>
      <c r="R14" s="484">
        <f>計算シート!R25</f>
        <v>0</v>
      </c>
      <c r="S14" s="484">
        <f>計算シート!S25</f>
        <v>0</v>
      </c>
      <c r="T14" s="484">
        <f>計算シート!T25</f>
        <v>0</v>
      </c>
      <c r="U14" s="484">
        <f>計算シート!U25</f>
        <v>0</v>
      </c>
      <c r="V14" s="484">
        <f>計算シート!V25</f>
        <v>0</v>
      </c>
      <c r="W14" s="484">
        <f>計算シート!W25</f>
        <v>0</v>
      </c>
      <c r="X14" s="484">
        <f>計算シート!X25</f>
        <v>0</v>
      </c>
      <c r="Y14" s="484">
        <f>計算シート!Y25</f>
        <v>0</v>
      </c>
      <c r="Z14" s="484">
        <f>計算シート!Z25</f>
        <v>0</v>
      </c>
      <c r="AA14" s="484">
        <f>計算シート!AA25</f>
        <v>0</v>
      </c>
      <c r="AB14" s="484">
        <f>計算シート!AB25</f>
        <v>0</v>
      </c>
      <c r="AC14" s="484">
        <f>計算シート!AC25</f>
        <v>0</v>
      </c>
      <c r="AD14" s="484">
        <f>計算シート!AD25</f>
        <v>0</v>
      </c>
      <c r="AE14" s="484">
        <f>計算シート!AE25</f>
        <v>0</v>
      </c>
      <c r="AF14" s="484">
        <f>計算シート!AF25</f>
        <v>0</v>
      </c>
      <c r="AG14" s="484">
        <f>計算シート!AG25</f>
        <v>0</v>
      </c>
      <c r="AH14" s="484">
        <f>計算シート!AH25</f>
        <v>0</v>
      </c>
      <c r="AI14" s="510">
        <f t="shared" si="3"/>
        <v>0</v>
      </c>
      <c r="AJ14" s="510">
        <f t="shared" si="4"/>
        <v>0</v>
      </c>
      <c r="AK14" s="510">
        <f t="shared" si="5"/>
        <v>0</v>
      </c>
    </row>
    <row r="15" spans="1:37" s="456" customFormat="1" ht="11.5" x14ac:dyDescent="0.25">
      <c r="A15" s="491" t="s">
        <v>260</v>
      </c>
      <c r="B15" s="486"/>
      <c r="C15" s="487" t="s">
        <v>254</v>
      </c>
      <c r="D15" s="595"/>
      <c r="E15" s="488">
        <f>計算シート!E26</f>
        <v>0</v>
      </c>
      <c r="F15" s="488">
        <f>計算シート!F26</f>
        <v>0</v>
      </c>
      <c r="G15" s="488">
        <f>計算シート!G26</f>
        <v>0</v>
      </c>
      <c r="H15" s="488">
        <f>計算シート!H26</f>
        <v>0</v>
      </c>
      <c r="I15" s="488">
        <f>計算シート!I26</f>
        <v>0</v>
      </c>
      <c r="J15" s="488">
        <f>計算シート!J26</f>
        <v>0</v>
      </c>
      <c r="K15" s="488">
        <f>計算シート!K26</f>
        <v>0</v>
      </c>
      <c r="L15" s="488">
        <f>計算シート!L26</f>
        <v>0</v>
      </c>
      <c r="M15" s="488">
        <f>計算シート!M26</f>
        <v>0</v>
      </c>
      <c r="N15" s="488">
        <f>計算シート!N26</f>
        <v>0</v>
      </c>
      <c r="O15" s="488">
        <f>計算シート!O26</f>
        <v>0</v>
      </c>
      <c r="P15" s="488">
        <f>計算シート!P26</f>
        <v>0</v>
      </c>
      <c r="Q15" s="488">
        <f>計算シート!Q26</f>
        <v>0</v>
      </c>
      <c r="R15" s="488">
        <f>計算シート!R26</f>
        <v>0</v>
      </c>
      <c r="S15" s="488">
        <f>計算シート!S26</f>
        <v>0</v>
      </c>
      <c r="T15" s="488">
        <f>計算シート!T26</f>
        <v>0</v>
      </c>
      <c r="U15" s="488">
        <f>計算シート!U26</f>
        <v>0</v>
      </c>
      <c r="V15" s="488">
        <f>計算シート!V26</f>
        <v>0</v>
      </c>
      <c r="W15" s="488">
        <f>計算シート!W26</f>
        <v>0</v>
      </c>
      <c r="X15" s="488">
        <f>計算シート!X26</f>
        <v>0</v>
      </c>
      <c r="Y15" s="488">
        <f>計算シート!Y26</f>
        <v>0</v>
      </c>
      <c r="Z15" s="488">
        <f>計算シート!Z26</f>
        <v>0</v>
      </c>
      <c r="AA15" s="488">
        <f>計算シート!AA26</f>
        <v>0</v>
      </c>
      <c r="AB15" s="488">
        <f>計算シート!AB26</f>
        <v>0</v>
      </c>
      <c r="AC15" s="488">
        <f>計算シート!AC26</f>
        <v>0</v>
      </c>
      <c r="AD15" s="488">
        <f>計算シート!AD26</f>
        <v>0</v>
      </c>
      <c r="AE15" s="488">
        <f>計算シート!AE26</f>
        <v>0</v>
      </c>
      <c r="AF15" s="488">
        <f>計算シート!AF26</f>
        <v>0</v>
      </c>
      <c r="AG15" s="488">
        <f>計算シート!AG26</f>
        <v>0</v>
      </c>
      <c r="AH15" s="488">
        <f>計算シート!AH26</f>
        <v>0</v>
      </c>
      <c r="AI15" s="533">
        <f>SUM(D15:N15)/10</f>
        <v>0</v>
      </c>
      <c r="AJ15" s="533">
        <f>SUM(D15:X15)/20</f>
        <v>0</v>
      </c>
      <c r="AK15" s="533">
        <f>SUM(D15:AH15)/30</f>
        <v>0</v>
      </c>
    </row>
    <row r="16" spans="1:37" s="456" customFormat="1" ht="11.5" x14ac:dyDescent="0.25">
      <c r="A16" s="1260" t="s">
        <v>942</v>
      </c>
      <c r="B16" s="1261"/>
      <c r="C16" s="1262" t="s">
        <v>37</v>
      </c>
      <c r="D16" s="1263"/>
      <c r="E16" s="1264">
        <f>SUM(計算シート!E206:E210)</f>
        <v>330000</v>
      </c>
      <c r="F16" s="1264">
        <f>SUM(計算シート!F206:F210)</f>
        <v>330000</v>
      </c>
      <c r="G16" s="1264">
        <f>SUM(計算シート!G206:G210)</f>
        <v>330000</v>
      </c>
      <c r="H16" s="1264">
        <f>SUM(計算シート!H206:H210)</f>
        <v>330000</v>
      </c>
      <c r="I16" s="1264">
        <f>SUM(計算シート!I206:I210)</f>
        <v>330000</v>
      </c>
      <c r="J16" s="1264">
        <f>SUM(計算シート!J206:J210)</f>
        <v>330000</v>
      </c>
      <c r="K16" s="1264">
        <f>SUM(計算シート!K206:K210)</f>
        <v>330000</v>
      </c>
      <c r="L16" s="1264">
        <f>SUM(計算シート!L206:L210)</f>
        <v>330000</v>
      </c>
      <c r="M16" s="1264">
        <f>SUM(計算シート!M206:M210)</f>
        <v>330000</v>
      </c>
      <c r="N16" s="1264">
        <f>SUM(計算シート!N206:N210)</f>
        <v>330000</v>
      </c>
      <c r="O16" s="1264">
        <f>SUM(計算シート!O206:O210)</f>
        <v>330000</v>
      </c>
      <c r="P16" s="1264">
        <f>SUM(計算シート!P206:P210)</f>
        <v>330000</v>
      </c>
      <c r="Q16" s="1264">
        <f>SUM(計算シート!Q206:Q210)</f>
        <v>330000</v>
      </c>
      <c r="R16" s="1264">
        <f>SUM(計算シート!R206:R210)</f>
        <v>330000</v>
      </c>
      <c r="S16" s="1264">
        <f>SUM(計算シート!S206:S210)</f>
        <v>330000</v>
      </c>
      <c r="T16" s="1264">
        <f>SUM(計算シート!T206:T210)</f>
        <v>330000</v>
      </c>
      <c r="U16" s="1264">
        <f>SUM(計算シート!U206:U210)</f>
        <v>330000</v>
      </c>
      <c r="V16" s="1264">
        <f>SUM(計算シート!V206:V210)</f>
        <v>330000</v>
      </c>
      <c r="W16" s="1264">
        <f>SUM(計算シート!W206:W210)</f>
        <v>330000</v>
      </c>
      <c r="X16" s="1264">
        <f>SUM(計算シート!X206:X210)</f>
        <v>330000</v>
      </c>
      <c r="Y16" s="1264">
        <f>SUM(計算シート!Y206:Y210)</f>
        <v>330000</v>
      </c>
      <c r="Z16" s="1264">
        <f>SUM(計算シート!Z206:Z210)</f>
        <v>330000</v>
      </c>
      <c r="AA16" s="1264">
        <f>SUM(計算シート!AA206:AA210)</f>
        <v>330000</v>
      </c>
      <c r="AB16" s="1264">
        <f>SUM(計算シート!AB206:AB210)</f>
        <v>330000</v>
      </c>
      <c r="AC16" s="1264">
        <f>SUM(計算シート!AC206:AC210)</f>
        <v>330000</v>
      </c>
      <c r="AD16" s="1264">
        <f>SUM(計算シート!AD206:AD210)</f>
        <v>330000</v>
      </c>
      <c r="AE16" s="1264">
        <f>SUM(計算シート!AE206:AE210)</f>
        <v>330000</v>
      </c>
      <c r="AF16" s="1264">
        <f>SUM(計算シート!AF206:AF210)</f>
        <v>330000</v>
      </c>
      <c r="AG16" s="1264">
        <f>SUM(計算シート!AG206:AG210)</f>
        <v>330000</v>
      </c>
      <c r="AH16" s="1264">
        <f>SUM(計算シート!AH206:AH210)</f>
        <v>330000</v>
      </c>
      <c r="AI16" s="1265">
        <f t="shared" ref="AI16" si="6">SUM(D16:N16)</f>
        <v>3300000</v>
      </c>
      <c r="AJ16" s="1265">
        <f t="shared" ref="AJ16" si="7">SUM(D16:X16)</f>
        <v>6600000</v>
      </c>
      <c r="AK16" s="1265">
        <f t="shared" ref="AK16" si="8">SUM(D16:AH16)</f>
        <v>9900000</v>
      </c>
    </row>
    <row r="17" spans="1:37" s="456" customFormat="1" ht="11.5" x14ac:dyDescent="0.25">
      <c r="A17" s="490" t="s">
        <v>302</v>
      </c>
      <c r="B17" s="361"/>
      <c r="C17" s="495" t="s">
        <v>247</v>
      </c>
      <c r="D17" s="593"/>
      <c r="E17" s="484">
        <f>計算シート!E104</f>
        <v>36769227.40949899</v>
      </c>
      <c r="F17" s="484">
        <f>計算シート!F104</f>
        <v>37269227.40949899</v>
      </c>
      <c r="G17" s="484">
        <f>計算シート!G104</f>
        <v>37769227.40949899</v>
      </c>
      <c r="H17" s="484">
        <f>計算シート!H104</f>
        <v>38269227.40949899</v>
      </c>
      <c r="I17" s="484">
        <f>計算シート!I104</f>
        <v>38769227.40949899</v>
      </c>
      <c r="J17" s="484">
        <f>計算シート!J104</f>
        <v>39269227.40949899</v>
      </c>
      <c r="K17" s="484">
        <f>計算シート!K104</f>
        <v>39769227.40949899</v>
      </c>
      <c r="L17" s="484">
        <f>計算シート!L104</f>
        <v>40269227.40949899</v>
      </c>
      <c r="M17" s="484">
        <f>計算シート!M104</f>
        <v>40769227.40949899</v>
      </c>
      <c r="N17" s="484">
        <f>計算シート!N104</f>
        <v>41269227.40949899</v>
      </c>
      <c r="O17" s="484">
        <f>計算シート!O104</f>
        <v>41769227.40949899</v>
      </c>
      <c r="P17" s="484">
        <f>計算シート!P104</f>
        <v>42269227.40949899</v>
      </c>
      <c r="Q17" s="484">
        <f>計算シート!Q104</f>
        <v>42769227.40949899</v>
      </c>
      <c r="R17" s="484">
        <f>計算シート!R104</f>
        <v>43269227.40949899</v>
      </c>
      <c r="S17" s="484">
        <f>計算シート!S104</f>
        <v>43769227.40949899</v>
      </c>
      <c r="T17" s="484">
        <f>計算シート!T104</f>
        <v>122453716.31119433</v>
      </c>
      <c r="U17" s="484">
        <f>計算シート!U104</f>
        <v>122953716.31119433</v>
      </c>
      <c r="V17" s="484">
        <f>計算シート!V104</f>
        <v>123453716.31119433</v>
      </c>
      <c r="W17" s="484">
        <f>計算シート!W104</f>
        <v>123953716.31119433</v>
      </c>
      <c r="X17" s="484">
        <f>計算シート!X104</f>
        <v>124453716.31119433</v>
      </c>
      <c r="Y17" s="484">
        <f>計算シート!Y104</f>
        <v>124953716.31119433</v>
      </c>
      <c r="Z17" s="484">
        <f>計算シート!Z104</f>
        <v>124953716.31119433</v>
      </c>
      <c r="AA17" s="484">
        <f>計算シート!AA104</f>
        <v>124953716.31119433</v>
      </c>
      <c r="AB17" s="484">
        <f>計算シート!AB104</f>
        <v>124953716.31119433</v>
      </c>
      <c r="AC17" s="484">
        <f>計算シート!AC104</f>
        <v>124953716.31119433</v>
      </c>
      <c r="AD17" s="484">
        <f>計算シート!AD104</f>
        <v>124953716.31119433</v>
      </c>
      <c r="AE17" s="484">
        <f>計算シート!AE104</f>
        <v>124953716.31119433</v>
      </c>
      <c r="AF17" s="484">
        <f>計算シート!AF104</f>
        <v>124953716.31119433</v>
      </c>
      <c r="AG17" s="484">
        <f>計算シート!AG104</f>
        <v>124953716.31119433</v>
      </c>
      <c r="AH17" s="484">
        <f>計算シート!AH104</f>
        <v>124953716.31119433</v>
      </c>
      <c r="AI17" s="510">
        <f t="shared" si="3"/>
        <v>390192274.0949899</v>
      </c>
      <c r="AJ17" s="510">
        <f t="shared" si="4"/>
        <v>1221306992.6984565</v>
      </c>
      <c r="AK17" s="510">
        <f t="shared" si="5"/>
        <v>2470844155.8104005</v>
      </c>
    </row>
    <row r="18" spans="1:37" s="1250" customFormat="1" ht="11.5" x14ac:dyDescent="0.25">
      <c r="A18" s="1244" t="s">
        <v>1078</v>
      </c>
      <c r="B18" s="1245"/>
      <c r="C18" s="1246" t="s">
        <v>1050</v>
      </c>
      <c r="D18" s="1247"/>
      <c r="E18" s="1248">
        <f>E17*波及効果シート!$D$54</f>
        <v>5515384.1114248484</v>
      </c>
      <c r="F18" s="1248">
        <f>F17*波及効果シート!$D$54</f>
        <v>5590384.1114248484</v>
      </c>
      <c r="G18" s="1248">
        <f>G17*波及効果シート!$D$54</f>
        <v>5665384.1114248484</v>
      </c>
      <c r="H18" s="1248">
        <f>H17*波及効果シート!$D$54</f>
        <v>5740384.1114248484</v>
      </c>
      <c r="I18" s="1248">
        <f>I17*波及効果シート!$D$54</f>
        <v>5815384.1114248484</v>
      </c>
      <c r="J18" s="1248">
        <f>J17*波及効果シート!$D$54</f>
        <v>5890384.1114248484</v>
      </c>
      <c r="K18" s="1248">
        <f>K17*波及効果シート!$D$54</f>
        <v>5965384.1114248484</v>
      </c>
      <c r="L18" s="1248">
        <f>L17*波及効果シート!$D$54</f>
        <v>6040384.1114248484</v>
      </c>
      <c r="M18" s="1248">
        <f>M17*波及効果シート!$D$54</f>
        <v>6115384.1114248484</v>
      </c>
      <c r="N18" s="1248">
        <f>N17*波及効果シート!$D$54</f>
        <v>6190384.1114248484</v>
      </c>
      <c r="O18" s="1248">
        <f>O17*波及効果シート!$D$54</f>
        <v>6265384.1114248484</v>
      </c>
      <c r="P18" s="1248">
        <f>P17*波及効果シート!$D$54</f>
        <v>6340384.1114248484</v>
      </c>
      <c r="Q18" s="1248">
        <f>Q17*波及効果シート!$D$54</f>
        <v>6415384.1114248484</v>
      </c>
      <c r="R18" s="1248">
        <f>R17*波及効果シート!$D$54</f>
        <v>6490384.1114248484</v>
      </c>
      <c r="S18" s="1248">
        <f>S17*波及効果シート!$D$54</f>
        <v>6565384.1114248484</v>
      </c>
      <c r="T18" s="1248">
        <f>T17*波及効果シート!$D$54</f>
        <v>18368057.446679149</v>
      </c>
      <c r="U18" s="1248">
        <f>U17*波及効果シート!$D$54</f>
        <v>18443057.446679149</v>
      </c>
      <c r="V18" s="1248">
        <f>V17*波及効果シート!$D$54</f>
        <v>18518057.446679149</v>
      </c>
      <c r="W18" s="1248">
        <f>W17*波及効果シート!$D$54</f>
        <v>18593057.446679149</v>
      </c>
      <c r="X18" s="1248">
        <f>X17*波及効果シート!$D$54</f>
        <v>18668057.446679149</v>
      </c>
      <c r="Y18" s="1248">
        <f>Y17*波及効果シート!$D$54</f>
        <v>18743057.446679149</v>
      </c>
      <c r="Z18" s="1248">
        <f>Z17*波及効果シート!$D$54</f>
        <v>18743057.446679149</v>
      </c>
      <c r="AA18" s="1248">
        <f>AA17*波及効果シート!$D$54</f>
        <v>18743057.446679149</v>
      </c>
      <c r="AB18" s="1248">
        <f>AB17*波及効果シート!$D$54</f>
        <v>18743057.446679149</v>
      </c>
      <c r="AC18" s="1248">
        <f>AC17*波及効果シート!$D$54</f>
        <v>18743057.446679149</v>
      </c>
      <c r="AD18" s="1248">
        <f>AD17*波及効果シート!$D$54</f>
        <v>18743057.446679149</v>
      </c>
      <c r="AE18" s="1248">
        <f>AE17*波及効果シート!$D$54</f>
        <v>18743057.446679149</v>
      </c>
      <c r="AF18" s="1248">
        <f>AF17*波及効果シート!$D$54</f>
        <v>18743057.446679149</v>
      </c>
      <c r="AG18" s="1248">
        <f>AG17*波及効果シート!$D$54</f>
        <v>18743057.446679149</v>
      </c>
      <c r="AH18" s="1248">
        <f>AH17*波及効果シート!$D$54</f>
        <v>18743057.446679149</v>
      </c>
      <c r="AI18" s="1249">
        <f>AI17*波及効果シート!$D$54</f>
        <v>58528841.114248484</v>
      </c>
      <c r="AJ18" s="1249">
        <f>AJ17*波及効果シート!$D$54</f>
        <v>183196048.90476847</v>
      </c>
      <c r="AK18" s="1249">
        <f>AK17*波及効果シート!$D$54</f>
        <v>370626623.37156004</v>
      </c>
    </row>
    <row r="19" spans="1:37" s="1250" customFormat="1" ht="11.5" x14ac:dyDescent="0.25">
      <c r="A19" s="1244" t="s">
        <v>1079</v>
      </c>
      <c r="B19" s="1245"/>
      <c r="C19" s="1246" t="s">
        <v>1050</v>
      </c>
      <c r="D19" s="1247"/>
      <c r="E19" s="1248">
        <f>IF(E17&lt;=0,0,E17*(波及効果シート!$D$54*波及効果シート!$D$60*(1+波及効果シート!$D$62)+波及効果シート!$D$60+波及効果シート!$D$65))</f>
        <v>1117870.1201950379</v>
      </c>
      <c r="F19" s="1248">
        <f>IF(F17&lt;=0,0,F17*(波及効果シート!$D$54*波及効果シート!$D$60*(1+波及効果シート!$D$62)+波及効果シート!$D$60+波及効果シート!$D$65))</f>
        <v>1133071.2843063383</v>
      </c>
      <c r="G19" s="1248">
        <f>IF(G17&lt;=0,0,G17*(波及効果シート!$D$54*波及効果シート!$D$60*(1+波及効果シート!$D$62)+波及効果シート!$D$60+波及効果シート!$D$65))</f>
        <v>1148272.4484176387</v>
      </c>
      <c r="H19" s="1248">
        <f>IF(H17&lt;=0,0,H17*(波及効果シート!$D$54*波及効果シート!$D$60*(1+波及効果シート!$D$62)+波及効果シート!$D$60+波及効果シート!$D$65))</f>
        <v>1163473.612528939</v>
      </c>
      <c r="I19" s="1248">
        <f>IF(I17&lt;=0,0,I17*(波及効果シート!$D$54*波及効果シート!$D$60*(1+波及効果シート!$D$62)+波及効果シート!$D$60+波及効果シート!$D$65))</f>
        <v>1178674.7766402394</v>
      </c>
      <c r="J19" s="1248">
        <f>IF(J17&lt;=0,0,J17*(波及効果シート!$D$54*波及効果シート!$D$60*(1+波及効果シート!$D$62)+波及効果シート!$D$60+波及効果シート!$D$65))</f>
        <v>1193875.9407515398</v>
      </c>
      <c r="K19" s="1248">
        <f>IF(K17&lt;=0,0,K17*(波及効果シート!$D$54*波及効果シート!$D$60*(1+波及効果シート!$D$62)+波及効果シート!$D$60+波及効果シート!$D$65))</f>
        <v>1209077.1048628401</v>
      </c>
      <c r="L19" s="1248">
        <f>IF(L17&lt;=0,0,L17*(波及効果シート!$D$54*波及効果シート!$D$60*(1+波及効果シート!$D$62)+波及効果シート!$D$60+波及効果シート!$D$65))</f>
        <v>1224278.2689741405</v>
      </c>
      <c r="M19" s="1248">
        <f>IF(M17&lt;=0,0,M17*(波及効果シート!$D$54*波及効果シート!$D$60*(1+波及効果シート!$D$62)+波及効果シート!$D$60+波及効果シート!$D$65))</f>
        <v>1239479.4330854411</v>
      </c>
      <c r="N19" s="1248">
        <f>IF(N17&lt;=0,0,N17*(波及効果シート!$D$54*波及効果シート!$D$60*(1+波及効果シート!$D$62)+波及効果シート!$D$60+波及効果シート!$D$65))</f>
        <v>1254680.5971967415</v>
      </c>
      <c r="O19" s="1248">
        <f>IF(O17&lt;=0,0,O17*(波及効果シート!$D$54*波及効果シート!$D$60*(1+波及効果シート!$D$62)+波及効果シート!$D$60+波及効果シート!$D$65))</f>
        <v>1269881.7613080419</v>
      </c>
      <c r="P19" s="1248">
        <f>IF(P17&lt;=0,0,P17*(波及効果シート!$D$54*波及効果シート!$D$60*(1+波及効果シート!$D$62)+波及効果シート!$D$60+波及効果シート!$D$65))</f>
        <v>1285082.9254193422</v>
      </c>
      <c r="Q19" s="1248">
        <f>IF(Q17&lt;=0,0,Q17*(波及効果シート!$D$54*波及効果シート!$D$60*(1+波及効果シート!$D$62)+波及効果シート!$D$60+波及効果シート!$D$65))</f>
        <v>1300284.0895306426</v>
      </c>
      <c r="R19" s="1248">
        <f>IF(R17&lt;=0,0,R17*(波及効果シート!$D$54*波及効果シート!$D$60*(1+波及効果シート!$D$62)+波及効果シート!$D$60+波及効果シート!$D$65))</f>
        <v>1315485.253641943</v>
      </c>
      <c r="S19" s="1248">
        <f>IF(S17&lt;=0,0,S17*(波及効果シート!$D$54*波及効果シート!$D$60*(1+波及効果シート!$D$62)+波及効果シート!$D$60+波及効果シート!$D$65))</f>
        <v>1330686.4177532434</v>
      </c>
      <c r="T19" s="1248">
        <f>IF(T17&lt;=0,0,T17*(波及効果シート!$D$54*波及効果シート!$D$60*(1+波及効果シート!$D$62)+波及効果シート!$D$60+波及効果シート!$D$65))</f>
        <v>3722878.0753701748</v>
      </c>
      <c r="U19" s="1248">
        <f>IF(U17&lt;=0,0,U17*(波及効果シート!$D$54*波及効果シート!$D$60*(1+波及効果シート!$D$62)+波及効果シート!$D$60+波及効果シート!$D$65))</f>
        <v>3738079.2394814752</v>
      </c>
      <c r="V19" s="1248">
        <f>IF(V17&lt;=0,0,V17*(波及効果シート!$D$54*波及効果シート!$D$60*(1+波及効果シート!$D$62)+波及効果シート!$D$60+波及効果シート!$D$65))</f>
        <v>3753280.4035927756</v>
      </c>
      <c r="W19" s="1248">
        <f>IF(W17&lt;=0,0,W17*(波及効果シート!$D$54*波及効果シート!$D$60*(1+波及効果シート!$D$62)+波及効果シート!$D$60+波及効果シート!$D$65))</f>
        <v>3768481.5677040759</v>
      </c>
      <c r="X19" s="1248">
        <f>IF(X17&lt;=0,0,X17*(波及効果シート!$D$54*波及効果シート!$D$60*(1+波及効果シート!$D$62)+波及効果シート!$D$60+波及効果シート!$D$65))</f>
        <v>3783682.7318153763</v>
      </c>
      <c r="Y19" s="1248">
        <f>IF(Y17&lt;=0,0,Y17*(波及効果シート!$D$54*波及効果シート!$D$60*(1+波及効果シート!$D$62)+波及効果シート!$D$60+波及効果シート!$D$65))</f>
        <v>3798883.8959266767</v>
      </c>
      <c r="Z19" s="1248">
        <f>IF(Z17&lt;=0,0,Z17*(波及効果シート!$D$54*波及効果シート!$D$60*(1+波及効果シート!$D$62)+波及効果シート!$D$60+波及効果シート!$D$65))</f>
        <v>3798883.8959266767</v>
      </c>
      <c r="AA19" s="1248">
        <f>IF(AA17&lt;=0,0,AA17*(波及効果シート!$D$54*波及効果シート!$D$60*(1+波及効果シート!$D$62)+波及効果シート!$D$60+波及効果シート!$D$65))</f>
        <v>3798883.8959266767</v>
      </c>
      <c r="AB19" s="1248">
        <f>IF(AB17&lt;=0,0,AB17*(波及効果シート!$D$54*波及効果シート!$D$60*(1+波及効果シート!$D$62)+波及効果シート!$D$60+波及効果シート!$D$65))</f>
        <v>3798883.8959266767</v>
      </c>
      <c r="AC19" s="1248">
        <f>IF(AC17&lt;=0,0,AC17*(波及効果シート!$D$54*波及効果シート!$D$60*(1+波及効果シート!$D$62)+波及効果シート!$D$60+波及効果シート!$D$65))</f>
        <v>3798883.8959266767</v>
      </c>
      <c r="AD19" s="1248">
        <f>IF(AD17&lt;=0,0,AD17*(波及効果シート!$D$54*波及効果シート!$D$60*(1+波及効果シート!$D$62)+波及効果シート!$D$60+波及効果シート!$D$65))</f>
        <v>3798883.8959266767</v>
      </c>
      <c r="AE19" s="1248">
        <f>IF(AE17&lt;=0,0,AE17*(波及効果シート!$D$54*波及効果シート!$D$60*(1+波及効果シート!$D$62)+波及効果シート!$D$60+波及効果シート!$D$65))</f>
        <v>3798883.8959266767</v>
      </c>
      <c r="AF19" s="1248">
        <f>IF(AF17&lt;=0,0,AF17*(波及効果シート!$D$54*波及効果シート!$D$60*(1+波及効果シート!$D$62)+波及効果シート!$D$60+波及効果シート!$D$65))</f>
        <v>3798883.8959266767</v>
      </c>
      <c r="AG19" s="1248">
        <f>IF(AG17&lt;=0,0,AG17*(波及効果シート!$D$54*波及効果シート!$D$60*(1+波及効果シート!$D$62)+波及効果シート!$D$60+波及効果シート!$D$65))</f>
        <v>3798883.8959266767</v>
      </c>
      <c r="AH19" s="1248">
        <f>IF(AH17&lt;=0,0,AH17*(波及効果シート!$D$54*波及効果シート!$D$60*(1+波及効果シート!$D$62)+波及効果シート!$D$60+波及効果シート!$D$65))</f>
        <v>3798883.8959266767</v>
      </c>
      <c r="AI19" s="1249">
        <f>IF(AI17&lt;=0,0,AI17*(波及効果シート!$D$60*(1+波及効果シート!$D$62)+波及効果シート!$D$60+波及効果シート!$D$65))</f>
        <v>16068971.646718442</v>
      </c>
      <c r="AJ19" s="1249">
        <f>IF(AJ17&lt;=0,0,AJ17*(波及効果シート!$D$60*(1+波及効果シート!$D$62)+波及効果シート!$D$60+波及効果シート!$D$65))</f>
        <v>50296094.363039196</v>
      </c>
      <c r="AK19" s="1249">
        <f>IF(AK17&lt;=0,0,AK17*(波及効果シート!$D$60*(1+波及効果シート!$D$62)+波及効果シート!$D$60+波及効果シート!$D$65))</f>
        <v>101754768.91557217</v>
      </c>
    </row>
    <row r="20" spans="1:37" s="1250" customFormat="1" ht="11.5" x14ac:dyDescent="0.25">
      <c r="A20" s="1244" t="s">
        <v>1080</v>
      </c>
      <c r="B20" s="1245"/>
      <c r="C20" s="1246" t="s">
        <v>1050</v>
      </c>
      <c r="D20" s="1247"/>
      <c r="E20" s="1248">
        <f>IF(E17&lt;=0,0,E17*(波及効果シート!$D$54*波及効果シート!$D$61*(1+波及効果シート!$D$63)))</f>
        <v>417894.56851204258</v>
      </c>
      <c r="F20" s="1248">
        <f>IF(F17&lt;=0,0,F17*(波及効果シート!$D$54*波及効果シート!$D$61*(1+波及効果シート!$D$63)))</f>
        <v>423577.23575791571</v>
      </c>
      <c r="G20" s="1248">
        <f>IF(G17&lt;=0,0,G17*(波及効果シート!$D$54*波及効果シート!$D$61*(1+波及効果シート!$D$63)))</f>
        <v>429259.90300378884</v>
      </c>
      <c r="H20" s="1248">
        <f>IF(H17&lt;=0,0,H17*(波及効果シート!$D$54*波及効果シート!$D$61*(1+波及効果シート!$D$63)))</f>
        <v>434942.57024966204</v>
      </c>
      <c r="I20" s="1248">
        <f>IF(I17&lt;=0,0,I17*(波及効果シート!$D$54*波及効果シート!$D$61*(1+波及効果シート!$D$63)))</f>
        <v>440625.23749553517</v>
      </c>
      <c r="J20" s="1248">
        <f>IF(J17&lt;=0,0,J17*(波及効果シート!$D$54*波及効果シート!$D$61*(1+波及効果シート!$D$63)))</f>
        <v>446307.9047414083</v>
      </c>
      <c r="K20" s="1248">
        <f>IF(K17&lt;=0,0,K17*(波及効果シート!$D$54*波及効果シート!$D$61*(1+波及効果シート!$D$63)))</f>
        <v>451990.5719872815</v>
      </c>
      <c r="L20" s="1248">
        <f>IF(L17&lt;=0,0,L17*(波及効果シート!$D$54*波及効果シート!$D$61*(1+波及効果シート!$D$63)))</f>
        <v>457673.23923315463</v>
      </c>
      <c r="M20" s="1248">
        <f>IF(M17&lt;=0,0,M17*(波及効果シート!$D$54*波及効果シート!$D$61*(1+波及効果シート!$D$63)))</f>
        <v>463355.90647902776</v>
      </c>
      <c r="N20" s="1248">
        <f>IF(N17&lt;=0,0,N17*(波及効果シート!$D$54*波及効果シート!$D$61*(1+波及効果シート!$D$63)))</f>
        <v>469038.57372490095</v>
      </c>
      <c r="O20" s="1248">
        <f>IF(O17&lt;=0,0,O17*(波及効果シート!$D$54*波及効果シート!$D$61*(1+波及効果シート!$D$63)))</f>
        <v>474721.24097077409</v>
      </c>
      <c r="P20" s="1248">
        <f>IF(P17&lt;=0,0,P17*(波及効果シート!$D$54*波及効果シート!$D$61*(1+波及効果シート!$D$63)))</f>
        <v>480403.90821664722</v>
      </c>
      <c r="Q20" s="1248">
        <f>IF(Q17&lt;=0,0,Q17*(波及効果シート!$D$54*波及効果シート!$D$61*(1+波及効果シート!$D$63)))</f>
        <v>486086.57546252041</v>
      </c>
      <c r="R20" s="1248">
        <f>IF(R17&lt;=0,0,R17*(波及効果シート!$D$54*波及効果シート!$D$61*(1+波及効果シート!$D$63)))</f>
        <v>491769.24270839355</v>
      </c>
      <c r="S20" s="1248">
        <f>IF(S17&lt;=0,0,S17*(波及効果シート!$D$54*波及効果シート!$D$61*(1+波及効果シート!$D$63)))</f>
        <v>497451.90995426668</v>
      </c>
      <c r="T20" s="1248">
        <f>IF(T17&lt;=0,0,T17*(波及効果シート!$D$54*波及効果シート!$D$61*(1+波及効果シート!$D$63)))</f>
        <v>1391727.4456341341</v>
      </c>
      <c r="U20" s="1248">
        <f>IF(U17&lt;=0,0,U17*(波及効果シート!$D$54*波及効果シート!$D$61*(1+波及効果シート!$D$63)))</f>
        <v>1397410.1128800074</v>
      </c>
      <c r="V20" s="1248">
        <f>IF(V17&lt;=0,0,V17*(波及効果シート!$D$54*波及効果シート!$D$61*(1+波及効果シート!$D$63)))</f>
        <v>1403092.7801258806</v>
      </c>
      <c r="W20" s="1248">
        <f>IF(W17&lt;=0,0,W17*(波及効果シート!$D$54*波及効果シート!$D$61*(1+波及効果シート!$D$63)))</f>
        <v>1408775.4473717536</v>
      </c>
      <c r="X20" s="1248">
        <f>IF(X17&lt;=0,0,X17*(波及効果シート!$D$54*波及効果シート!$D$61*(1+波及効果シート!$D$63)))</f>
        <v>1414458.1146176269</v>
      </c>
      <c r="Y20" s="1248">
        <f>IF(Y17&lt;=0,0,Y17*(波及効果シート!$D$54*波及効果シート!$D$61*(1+波及効果シート!$D$63)))</f>
        <v>1420140.7818634999</v>
      </c>
      <c r="Z20" s="1248">
        <f>IF(Z17&lt;=0,0,Z17*(波及効果シート!$D$54*波及効果シート!$D$61*(1+波及効果シート!$D$63)))</f>
        <v>1420140.7818634999</v>
      </c>
      <c r="AA20" s="1248">
        <f>IF(AA17&lt;=0,0,AA17*(波及効果シート!$D$54*波及効果シート!$D$61*(1+波及効果シート!$D$63)))</f>
        <v>1420140.7818634999</v>
      </c>
      <c r="AB20" s="1248">
        <f>IF(AB17&lt;=0,0,AB17*(波及効果シート!$D$54*波及効果シート!$D$61*(1+波及効果シート!$D$63)))</f>
        <v>1420140.7818634999</v>
      </c>
      <c r="AC20" s="1248">
        <f>IF(AC17&lt;=0,0,AC17*(波及効果シート!$D$54*波及効果シート!$D$61*(1+波及効果シート!$D$63)))</f>
        <v>1420140.7818634999</v>
      </c>
      <c r="AD20" s="1248">
        <f>IF(AD17&lt;=0,0,AD17*(波及効果シート!$D$54*波及効果シート!$D$61*(1+波及効果シート!$D$63)))</f>
        <v>1420140.7818634999</v>
      </c>
      <c r="AE20" s="1248">
        <f>IF(AE17&lt;=0,0,AE17*(波及効果シート!$D$54*波及効果シート!$D$61*(1+波及効果シート!$D$63)))</f>
        <v>1420140.7818634999</v>
      </c>
      <c r="AF20" s="1248">
        <f>IF(AF17&lt;=0,0,AF17*(波及効果シート!$D$54*波及効果シート!$D$61*(1+波及効果シート!$D$63)))</f>
        <v>1420140.7818634999</v>
      </c>
      <c r="AG20" s="1248">
        <f>IF(AG17&lt;=0,0,AG17*(波及効果シート!$D$54*波及効果シート!$D$61*(1+波及効果シート!$D$63)))</f>
        <v>1420140.7818634999</v>
      </c>
      <c r="AH20" s="1248">
        <f>IF(AH17&lt;=0,0,AH17*(波及効果シート!$D$54*波及効果シート!$D$61*(1+波及効果シート!$D$63)))</f>
        <v>1420140.7818634999</v>
      </c>
      <c r="AI20" s="1249">
        <f>IF(AI17&lt;=0,0,AI17*(波及効果シート!$D$61*(1+波及効果シート!$D$63)))</f>
        <v>29564438.074564785</v>
      </c>
      <c r="AJ20" s="1249">
        <f>IF(AJ17&lt;=0,0,AJ17*(波及効果シート!$D$61*(1+波及効果シート!$D$63)))</f>
        <v>92537083.260844812</v>
      </c>
      <c r="AK20" s="1249">
        <f>IF(AK17&lt;=0,0,AK17*(波及効果シート!$D$61*(1+波及効果シート!$D$63)))</f>
        <v>187213135.38507819</v>
      </c>
    </row>
    <row r="21" spans="1:37" s="1250" customFormat="1" ht="11.5" x14ac:dyDescent="0.25">
      <c r="A21" s="1244" t="s">
        <v>261</v>
      </c>
      <c r="B21" s="1245"/>
      <c r="C21" s="1246" t="s">
        <v>37</v>
      </c>
      <c r="D21" s="1247"/>
      <c r="E21" s="1248">
        <f>E8*波及効果シート!$D$64*(1+波及効果シート!$D$66)</f>
        <v>716841.98147460946</v>
      </c>
      <c r="F21" s="1248">
        <f>F8*波及効果シート!$D$64*(1+波及効果シート!$D$66)</f>
        <v>716841.98147460946</v>
      </c>
      <c r="G21" s="1248">
        <f>G8*波及効果シート!$D$64*(1+波及効果シート!$D$66)</f>
        <v>716841.98147460946</v>
      </c>
      <c r="H21" s="1248">
        <f>H8*波及効果シート!$D$64*(1+波及効果シート!$D$66)</f>
        <v>716841.98147460946</v>
      </c>
      <c r="I21" s="1248">
        <f>I8*波及効果シート!$D$64*(1+波及効果シート!$D$66)</f>
        <v>716841.98147460946</v>
      </c>
      <c r="J21" s="1248">
        <f>J8*波及効果シート!$D$64*(1+波及効果シート!$D$66)</f>
        <v>716841.98147460946</v>
      </c>
      <c r="K21" s="1248">
        <f>K8*波及効果シート!$D$64*(1+波及効果シート!$D$66)</f>
        <v>716841.98147460946</v>
      </c>
      <c r="L21" s="1248">
        <f>L8*波及効果シート!$D$64*(1+波及効果シート!$D$66)</f>
        <v>716841.98147460946</v>
      </c>
      <c r="M21" s="1248">
        <f>M8*波及効果シート!$D$64*(1+波及効果シート!$D$66)</f>
        <v>716841.98147460946</v>
      </c>
      <c r="N21" s="1248">
        <f>N8*波及効果シート!$D$64*(1+波及効果シート!$D$66)</f>
        <v>716841.98147460946</v>
      </c>
      <c r="O21" s="1248">
        <f>O8*波及効果シート!$D$64*(1+波及効果シート!$D$66)</f>
        <v>716841.98147460946</v>
      </c>
      <c r="P21" s="1248">
        <f>P8*波及効果シート!$D$64*(1+波及効果シート!$D$66)</f>
        <v>716841.98147460946</v>
      </c>
      <c r="Q21" s="1248">
        <f>Q8*波及効果シート!$D$64*(1+波及効果シート!$D$66)</f>
        <v>716841.98147460946</v>
      </c>
      <c r="R21" s="1248">
        <f>R8*波及効果シート!$D$64*(1+波及効果シート!$D$66)</f>
        <v>716841.98147460946</v>
      </c>
      <c r="S21" s="1248">
        <f>S8*波及効果シート!$D$64*(1+波及効果シート!$D$66)</f>
        <v>716841.98147460946</v>
      </c>
      <c r="T21" s="1248">
        <f>T8*波及効果シート!$D$64*(1+波及効果シート!$D$66)</f>
        <v>716841.98147460946</v>
      </c>
      <c r="U21" s="1248">
        <f>U8*波及効果シート!$D$64*(1+波及効果シート!$D$66)</f>
        <v>716841.98147460946</v>
      </c>
      <c r="V21" s="1248">
        <f>V8*波及効果シート!$D$64*(1+波及効果シート!$D$66)</f>
        <v>716841.98147460946</v>
      </c>
      <c r="W21" s="1248">
        <f>W8*波及効果シート!$D$64*(1+波及効果シート!$D$66)</f>
        <v>716841.98147460946</v>
      </c>
      <c r="X21" s="1248">
        <f>X8*波及効果シート!$D$64*(1+波及効果シート!$D$66)</f>
        <v>716841.98147460946</v>
      </c>
      <c r="Y21" s="1248">
        <f>Y8*波及効果シート!$D$64*(1+波及効果シート!$D$66)</f>
        <v>716841.98147460946</v>
      </c>
      <c r="Z21" s="1248">
        <f>Z8*波及効果シート!$D$64*(1+波及効果シート!$D$66)</f>
        <v>716841.98147460946</v>
      </c>
      <c r="AA21" s="1248">
        <f>AA8*波及効果シート!$D$64*(1+波及効果シート!$D$66)</f>
        <v>716841.98147460946</v>
      </c>
      <c r="AB21" s="1248">
        <f>AB8*波及効果シート!$D$64*(1+波及効果シート!$D$66)</f>
        <v>716841.98147460946</v>
      </c>
      <c r="AC21" s="1248">
        <f>AC8*波及効果シート!$D$64*(1+波及効果シート!$D$66)</f>
        <v>716841.98147460946</v>
      </c>
      <c r="AD21" s="1248">
        <f>AD8*波及効果シート!$D$64*(1+波及効果シート!$D$66)</f>
        <v>716841.98147460946</v>
      </c>
      <c r="AE21" s="1248">
        <f>AE8*波及効果シート!$D$64*(1+波及効果シート!$D$66)</f>
        <v>716841.98147460946</v>
      </c>
      <c r="AF21" s="1248">
        <f>AF8*波及効果シート!$D$64*(1+波及効果シート!$D$66)</f>
        <v>716841.98147460946</v>
      </c>
      <c r="AG21" s="1248">
        <f>AG8*波及効果シート!$D$64*(1+波及効果シート!$D$66)</f>
        <v>716841.98147460946</v>
      </c>
      <c r="AH21" s="1248">
        <f>AH8*波及効果シート!$D$64*(1+波及効果シート!$D$66)</f>
        <v>716841.98147460946</v>
      </c>
      <c r="AI21" s="1249">
        <f t="shared" ref="AI21" si="9">SUM(D21:N21)</f>
        <v>7168419.814746093</v>
      </c>
      <c r="AJ21" s="1249">
        <f t="shared" ref="AJ21" si="10">SUM(D21:X21)</f>
        <v>14336839.629492192</v>
      </c>
      <c r="AK21" s="1249">
        <f t="shared" ref="AK21" si="11">SUM(D21:AH21)</f>
        <v>21505259.444238279</v>
      </c>
    </row>
    <row r="22" spans="1:37" s="456" customFormat="1" ht="11.5" x14ac:dyDescent="0.25">
      <c r="A22" s="490" t="s">
        <v>281</v>
      </c>
      <c r="B22" s="361"/>
      <c r="C22" s="464" t="s">
        <v>37</v>
      </c>
      <c r="D22" s="593"/>
      <c r="E22" s="484">
        <f>-計算シート!E82</f>
        <v>21891656.892474696</v>
      </c>
      <c r="F22" s="484">
        <f>-計算シート!F82</f>
        <v>20653049.989347842</v>
      </c>
      <c r="G22" s="484">
        <f>-計算シート!G82</f>
        <v>19414443.086220983</v>
      </c>
      <c r="H22" s="484">
        <f>-計算シート!H82</f>
        <v>18175836.183094125</v>
      </c>
      <c r="I22" s="484">
        <f>-計算シート!I82</f>
        <v>16937229.279967267</v>
      </c>
      <c r="J22" s="484">
        <f>-計算シート!J82</f>
        <v>15698622.376840409</v>
      </c>
      <c r="K22" s="484">
        <f>-計算シート!K82</f>
        <v>14460015.473713551</v>
      </c>
      <c r="L22" s="484">
        <f>-計算シート!L82</f>
        <v>13221408.570586693</v>
      </c>
      <c r="M22" s="484">
        <f>-計算シート!M82</f>
        <v>11982801.667459836</v>
      </c>
      <c r="N22" s="484">
        <f>-計算シート!N82</f>
        <v>10744194.764332978</v>
      </c>
      <c r="O22" s="484">
        <f>-計算シート!O82</f>
        <v>9505587.8612061199</v>
      </c>
      <c r="P22" s="484">
        <f>-計算シート!P82</f>
        <v>8266980.9580792617</v>
      </c>
      <c r="Q22" s="484">
        <f>-計算シート!Q82</f>
        <v>7028374.0549524045</v>
      </c>
      <c r="R22" s="484">
        <f>-計算シート!R82</f>
        <v>5789767.1518255463</v>
      </c>
      <c r="S22" s="484">
        <f>-計算シート!S82</f>
        <v>4551160.248698689</v>
      </c>
      <c r="T22" s="484">
        <f>-計算シート!T82</f>
        <v>3312553.3455718309</v>
      </c>
      <c r="U22" s="484">
        <f>-計算シート!U82</f>
        <v>3168529.2870687079</v>
      </c>
      <c r="V22" s="484">
        <f>-計算シート!V82</f>
        <v>3024505.2285655849</v>
      </c>
      <c r="W22" s="484">
        <f>-計算シート!W82</f>
        <v>2880481.1700624619</v>
      </c>
      <c r="X22" s="484">
        <f>-計算シート!X82</f>
        <v>2736457.1115593389</v>
      </c>
      <c r="Y22" s="484">
        <f>-計算シート!Y82</f>
        <v>2592433.0530562159</v>
      </c>
      <c r="Z22" s="484">
        <f>-計算シート!Z82</f>
        <v>2448408.9945530929</v>
      </c>
      <c r="AA22" s="484">
        <f>-計算シート!AA82</f>
        <v>2304384.9360499699</v>
      </c>
      <c r="AB22" s="484">
        <f>-計算シート!AB82</f>
        <v>2160360.8775468469</v>
      </c>
      <c r="AC22" s="484">
        <f>-計算シート!AC82</f>
        <v>2016336.8190437239</v>
      </c>
      <c r="AD22" s="484">
        <f>-計算シート!AD82</f>
        <v>1872312.7605406009</v>
      </c>
      <c r="AE22" s="484">
        <f>-計算シート!AE82</f>
        <v>1728288.7020374779</v>
      </c>
      <c r="AF22" s="484">
        <f>-計算シート!AF82</f>
        <v>1584264.6435343549</v>
      </c>
      <c r="AG22" s="484">
        <f>-計算シート!AG82</f>
        <v>1440240.5850312319</v>
      </c>
      <c r="AH22" s="489">
        <f>-計算シート!AH82</f>
        <v>1296216.5265281089</v>
      </c>
      <c r="AI22" s="510">
        <f t="shared" si="3"/>
        <v>163179258.28403839</v>
      </c>
      <c r="AJ22" s="510">
        <f t="shared" si="4"/>
        <v>213443654.70162827</v>
      </c>
      <c r="AK22" s="510">
        <f t="shared" si="5"/>
        <v>232886902.59954992</v>
      </c>
    </row>
    <row r="23" spans="1:37" s="456" customFormat="1" ht="12" thickBot="1" x14ac:dyDescent="0.3">
      <c r="A23" s="492" t="s">
        <v>273</v>
      </c>
      <c r="B23" s="499"/>
      <c r="C23" s="480" t="s">
        <v>247</v>
      </c>
      <c r="D23" s="596"/>
      <c r="E23" s="493">
        <f>E17-SUM(E18:E22)</f>
        <v>7109579.7354177535</v>
      </c>
      <c r="F23" s="493">
        <f t="shared" ref="F23:AH23" si="12">F17-SUM(F18:F22)</f>
        <v>8752302.807187438</v>
      </c>
      <c r="G23" s="493">
        <f t="shared" si="12"/>
        <v>10395025.878957123</v>
      </c>
      <c r="H23" s="493">
        <f t="shared" si="12"/>
        <v>12037748.950726807</v>
      </c>
      <c r="I23" s="493">
        <f t="shared" si="12"/>
        <v>13680472.022496492</v>
      </c>
      <c r="J23" s="493">
        <f t="shared" si="12"/>
        <v>15323195.094266176</v>
      </c>
      <c r="K23" s="493">
        <f t="shared" si="12"/>
        <v>16965918.166035861</v>
      </c>
      <c r="L23" s="493">
        <f t="shared" si="12"/>
        <v>18608641.237805545</v>
      </c>
      <c r="M23" s="493">
        <f t="shared" si="12"/>
        <v>20251364.309575226</v>
      </c>
      <c r="N23" s="493">
        <f t="shared" si="12"/>
        <v>21894087.381344911</v>
      </c>
      <c r="O23" s="493">
        <f t="shared" si="12"/>
        <v>23536810.453114595</v>
      </c>
      <c r="P23" s="493">
        <f t="shared" si="12"/>
        <v>25179533.524884284</v>
      </c>
      <c r="Q23" s="493">
        <f t="shared" si="12"/>
        <v>26822256.596653964</v>
      </c>
      <c r="R23" s="493">
        <f t="shared" si="12"/>
        <v>28464979.668423649</v>
      </c>
      <c r="S23" s="493">
        <f t="shared" si="12"/>
        <v>30107702.74019333</v>
      </c>
      <c r="T23" s="493">
        <f t="shared" si="12"/>
        <v>94941658.016464442</v>
      </c>
      <c r="U23" s="493">
        <f t="shared" si="12"/>
        <v>95489798.243610382</v>
      </c>
      <c r="V23" s="493">
        <f t="shared" si="12"/>
        <v>96037938.470756337</v>
      </c>
      <c r="W23" s="493">
        <f t="shared" si="12"/>
        <v>96586078.697902277</v>
      </c>
      <c r="X23" s="493">
        <f t="shared" si="12"/>
        <v>97134218.925048232</v>
      </c>
      <c r="Y23" s="493">
        <f t="shared" si="12"/>
        <v>97682359.152194172</v>
      </c>
      <c r="Z23" s="493">
        <f t="shared" si="12"/>
        <v>97826383.210697308</v>
      </c>
      <c r="AA23" s="493">
        <f t="shared" si="12"/>
        <v>97970407.269200429</v>
      </c>
      <c r="AB23" s="493">
        <f t="shared" si="12"/>
        <v>98114431.32770355</v>
      </c>
      <c r="AC23" s="493">
        <f t="shared" si="12"/>
        <v>98258455.386206672</v>
      </c>
      <c r="AD23" s="493">
        <f t="shared" si="12"/>
        <v>98402479.444709793</v>
      </c>
      <c r="AE23" s="493">
        <f t="shared" si="12"/>
        <v>98546503.503212929</v>
      </c>
      <c r="AF23" s="493">
        <f t="shared" si="12"/>
        <v>98690527.56171605</v>
      </c>
      <c r="AG23" s="493">
        <f t="shared" si="12"/>
        <v>98834551.620219171</v>
      </c>
      <c r="AH23" s="494">
        <f t="shared" si="12"/>
        <v>98978575.678722292</v>
      </c>
      <c r="AI23" s="531">
        <f>SUM(D23:N23)</f>
        <v>145018335.58381334</v>
      </c>
      <c r="AJ23" s="531">
        <f>SUM(D23:X23)</f>
        <v>759319310.92086482</v>
      </c>
      <c r="AK23" s="511">
        <f>SUM(D23:AH23)</f>
        <v>1742623985.0754473</v>
      </c>
    </row>
    <row r="24" spans="1:37" s="456" customFormat="1" ht="11.5" x14ac:dyDescent="0.25">
      <c r="A24" s="457"/>
      <c r="B24" s="361"/>
      <c r="C24" s="483"/>
      <c r="D24" s="593"/>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512"/>
      <c r="AJ24" s="512"/>
    </row>
    <row r="25" spans="1:37" ht="11.5" thickBot="1" x14ac:dyDescent="0.25"/>
    <row r="26" spans="1:37" ht="12" thickBot="1" x14ac:dyDescent="0.3">
      <c r="A26" s="498"/>
      <c r="B26" s="498" t="s">
        <v>248</v>
      </c>
      <c r="C26" s="460"/>
      <c r="D26" s="594">
        <v>0</v>
      </c>
      <c r="E26" s="461">
        <v>1</v>
      </c>
      <c r="F26" s="461">
        <v>2</v>
      </c>
      <c r="G26" s="461">
        <v>3</v>
      </c>
      <c r="H26" s="461">
        <v>4</v>
      </c>
      <c r="I26" s="461">
        <v>5</v>
      </c>
      <c r="J26" s="461">
        <v>6</v>
      </c>
      <c r="K26" s="461">
        <v>7</v>
      </c>
      <c r="L26" s="461">
        <v>8</v>
      </c>
      <c r="M26" s="461">
        <v>9</v>
      </c>
      <c r="N26" s="461">
        <v>10</v>
      </c>
      <c r="O26" s="461">
        <v>11</v>
      </c>
      <c r="P26" s="461">
        <v>12</v>
      </c>
      <c r="Q26" s="461">
        <v>13</v>
      </c>
      <c r="R26" s="461">
        <v>14</v>
      </c>
      <c r="S26" s="461">
        <v>15</v>
      </c>
      <c r="T26" s="461">
        <v>16</v>
      </c>
      <c r="U26" s="461">
        <v>17</v>
      </c>
      <c r="V26" s="461">
        <v>18</v>
      </c>
      <c r="W26" s="461">
        <v>19</v>
      </c>
      <c r="X26" s="462">
        <v>20</v>
      </c>
      <c r="Y26" s="462">
        <v>21</v>
      </c>
      <c r="Z26" s="462">
        <v>22</v>
      </c>
      <c r="AA26" s="462">
        <v>23</v>
      </c>
      <c r="AB26" s="462">
        <v>24</v>
      </c>
      <c r="AC26" s="462">
        <v>25</v>
      </c>
      <c r="AD26" s="462">
        <v>26</v>
      </c>
      <c r="AE26" s="462">
        <v>27</v>
      </c>
      <c r="AF26" s="462">
        <v>28</v>
      </c>
      <c r="AG26" s="462">
        <v>29</v>
      </c>
      <c r="AH26" s="476">
        <v>30</v>
      </c>
      <c r="AI26" s="513" t="s">
        <v>306</v>
      </c>
      <c r="AJ26" s="513" t="s">
        <v>270</v>
      </c>
      <c r="AK26" s="513" t="s">
        <v>271</v>
      </c>
    </row>
    <row r="27" spans="1:37" x14ac:dyDescent="0.2">
      <c r="B27" s="452" t="s">
        <v>206</v>
      </c>
      <c r="C27" s="465" t="s">
        <v>307</v>
      </c>
      <c r="D27" s="507">
        <f>SUM(D28:D29)</f>
        <v>1563689778.0339069</v>
      </c>
      <c r="E27" s="478">
        <f t="shared" ref="E27:AH27" si="13">SUM(E29:E29)</f>
        <v>0</v>
      </c>
      <c r="F27" s="478">
        <f t="shared" si="13"/>
        <v>0</v>
      </c>
      <c r="G27" s="478">
        <f t="shared" si="13"/>
        <v>0</v>
      </c>
      <c r="H27" s="478">
        <f t="shared" si="13"/>
        <v>0</v>
      </c>
      <c r="I27" s="478">
        <f t="shared" si="13"/>
        <v>0</v>
      </c>
      <c r="J27" s="478">
        <f t="shared" si="13"/>
        <v>0</v>
      </c>
      <c r="K27" s="478">
        <f t="shared" si="13"/>
        <v>0</v>
      </c>
      <c r="L27" s="478">
        <f t="shared" si="13"/>
        <v>0</v>
      </c>
      <c r="M27" s="478">
        <f t="shared" si="13"/>
        <v>0</v>
      </c>
      <c r="N27" s="478">
        <f t="shared" si="13"/>
        <v>0</v>
      </c>
      <c r="O27" s="478">
        <f t="shared" si="13"/>
        <v>0</v>
      </c>
      <c r="P27" s="478">
        <f t="shared" si="13"/>
        <v>0</v>
      </c>
      <c r="Q27" s="478">
        <f t="shared" si="13"/>
        <v>0</v>
      </c>
      <c r="R27" s="478">
        <f t="shared" si="13"/>
        <v>0</v>
      </c>
      <c r="S27" s="478">
        <f t="shared" si="13"/>
        <v>0</v>
      </c>
      <c r="T27" s="478">
        <f t="shared" si="13"/>
        <v>0</v>
      </c>
      <c r="U27" s="478">
        <f t="shared" si="13"/>
        <v>0</v>
      </c>
      <c r="V27" s="478">
        <f t="shared" si="13"/>
        <v>0</v>
      </c>
      <c r="W27" s="478">
        <f t="shared" si="13"/>
        <v>0</v>
      </c>
      <c r="X27" s="478">
        <f t="shared" si="13"/>
        <v>0</v>
      </c>
      <c r="Y27" s="478">
        <f t="shared" si="13"/>
        <v>0</v>
      </c>
      <c r="Z27" s="478">
        <f t="shared" si="13"/>
        <v>0</v>
      </c>
      <c r="AA27" s="478">
        <f t="shared" si="13"/>
        <v>0</v>
      </c>
      <c r="AB27" s="478">
        <f t="shared" si="13"/>
        <v>0</v>
      </c>
      <c r="AC27" s="478">
        <f t="shared" si="13"/>
        <v>0</v>
      </c>
      <c r="AD27" s="478">
        <f t="shared" si="13"/>
        <v>0</v>
      </c>
      <c r="AE27" s="478">
        <f t="shared" si="13"/>
        <v>0</v>
      </c>
      <c r="AF27" s="478">
        <f t="shared" si="13"/>
        <v>0</v>
      </c>
      <c r="AG27" s="478">
        <f t="shared" si="13"/>
        <v>0</v>
      </c>
      <c r="AH27" s="478">
        <f t="shared" si="13"/>
        <v>0</v>
      </c>
      <c r="AI27" s="516">
        <f>SUM(D27:N27)</f>
        <v>1563689778.0339069</v>
      </c>
      <c r="AJ27" s="516">
        <f>SUM(D27:X27)</f>
        <v>1563689778.0339069</v>
      </c>
      <c r="AK27" s="516">
        <f>SUM(D27:AH27)</f>
        <v>1563689778.0339069</v>
      </c>
    </row>
    <row r="28" spans="1:37" x14ac:dyDescent="0.2">
      <c r="B28" s="451" t="str">
        <f>地域経済性分析・初期条件!B9</f>
        <v>設備費用</v>
      </c>
      <c r="C28" s="464" t="s">
        <v>37</v>
      </c>
      <c r="D28" s="507">
        <f>地域経済性分析・初期条件!D9</f>
        <v>1172767333.5254302</v>
      </c>
      <c r="E28" s="479">
        <v>0</v>
      </c>
      <c r="F28" s="479">
        <v>0</v>
      </c>
      <c r="G28" s="479">
        <v>0</v>
      </c>
      <c r="H28" s="479">
        <v>0</v>
      </c>
      <c r="I28" s="479">
        <v>0</v>
      </c>
      <c r="J28" s="479">
        <v>0</v>
      </c>
      <c r="K28" s="479">
        <v>0</v>
      </c>
      <c r="L28" s="479">
        <v>0</v>
      </c>
      <c r="M28" s="479">
        <v>0</v>
      </c>
      <c r="N28" s="479">
        <v>0</v>
      </c>
      <c r="O28" s="479">
        <v>0</v>
      </c>
      <c r="P28" s="479">
        <v>0</v>
      </c>
      <c r="Q28" s="479">
        <v>0</v>
      </c>
      <c r="R28" s="479">
        <v>0</v>
      </c>
      <c r="S28" s="479">
        <v>0</v>
      </c>
      <c r="T28" s="479">
        <v>0</v>
      </c>
      <c r="U28" s="479">
        <v>0</v>
      </c>
      <c r="V28" s="479">
        <v>0</v>
      </c>
      <c r="W28" s="479">
        <v>0</v>
      </c>
      <c r="X28" s="479">
        <v>0</v>
      </c>
      <c r="Y28" s="479">
        <v>0</v>
      </c>
      <c r="Z28" s="479">
        <v>0</v>
      </c>
      <c r="AA28" s="479">
        <v>0</v>
      </c>
      <c r="AB28" s="479">
        <v>0</v>
      </c>
      <c r="AC28" s="479">
        <v>0</v>
      </c>
      <c r="AD28" s="479">
        <v>0</v>
      </c>
      <c r="AE28" s="479">
        <v>0</v>
      </c>
      <c r="AF28" s="479">
        <v>0</v>
      </c>
      <c r="AG28" s="479">
        <v>0</v>
      </c>
      <c r="AH28" s="477">
        <v>0</v>
      </c>
      <c r="AI28" s="516">
        <f t="shared" ref="AI28:AI36" si="14">SUM(D28:N28)</f>
        <v>1172767333.5254302</v>
      </c>
      <c r="AJ28" s="516">
        <f t="shared" ref="AJ28:AJ36" si="15">SUM(D28:X28)</f>
        <v>1172767333.5254302</v>
      </c>
      <c r="AK28" s="516">
        <f t="shared" ref="AK28:AK43" si="16">SUM(D28:AH28)</f>
        <v>1172767333.5254302</v>
      </c>
    </row>
    <row r="29" spans="1:37" x14ac:dyDescent="0.2">
      <c r="A29" s="1251"/>
      <c r="B29" s="1252" t="str">
        <f>地域経済性分析・初期条件!B13</f>
        <v>工事費</v>
      </c>
      <c r="C29" s="1253" t="s">
        <v>37</v>
      </c>
      <c r="D29" s="1254">
        <f>地域経済性分析・初期条件!D13</f>
        <v>390922444.50847667</v>
      </c>
      <c r="E29" s="1255">
        <v>0</v>
      </c>
      <c r="F29" s="1255">
        <v>0</v>
      </c>
      <c r="G29" s="1255">
        <v>0</v>
      </c>
      <c r="H29" s="1255">
        <v>0</v>
      </c>
      <c r="I29" s="1255">
        <v>0</v>
      </c>
      <c r="J29" s="1255">
        <v>0</v>
      </c>
      <c r="K29" s="1255">
        <v>0</v>
      </c>
      <c r="L29" s="1255">
        <v>0</v>
      </c>
      <c r="M29" s="1255">
        <v>0</v>
      </c>
      <c r="N29" s="1255">
        <v>0</v>
      </c>
      <c r="O29" s="1255">
        <v>0</v>
      </c>
      <c r="P29" s="1255">
        <v>0</v>
      </c>
      <c r="Q29" s="1255">
        <v>0</v>
      </c>
      <c r="R29" s="1255">
        <v>0</v>
      </c>
      <c r="S29" s="1255">
        <v>0</v>
      </c>
      <c r="T29" s="1255">
        <v>0</v>
      </c>
      <c r="U29" s="1255">
        <v>0</v>
      </c>
      <c r="V29" s="1255">
        <v>0</v>
      </c>
      <c r="W29" s="1255">
        <v>0</v>
      </c>
      <c r="X29" s="1255">
        <v>0</v>
      </c>
      <c r="Y29" s="1255">
        <v>0</v>
      </c>
      <c r="Z29" s="1255">
        <v>0</v>
      </c>
      <c r="AA29" s="1255">
        <v>0</v>
      </c>
      <c r="AB29" s="1255">
        <v>0</v>
      </c>
      <c r="AC29" s="1255">
        <v>0</v>
      </c>
      <c r="AD29" s="1255">
        <v>0</v>
      </c>
      <c r="AE29" s="1255">
        <v>0</v>
      </c>
      <c r="AF29" s="1255">
        <v>0</v>
      </c>
      <c r="AG29" s="1255">
        <v>0</v>
      </c>
      <c r="AH29" s="1255">
        <v>0</v>
      </c>
      <c r="AI29" s="515">
        <f t="shared" si="14"/>
        <v>390922444.50847667</v>
      </c>
      <c r="AJ29" s="515">
        <f t="shared" si="15"/>
        <v>390922444.50847667</v>
      </c>
      <c r="AK29" s="515">
        <f t="shared" si="16"/>
        <v>390922444.50847667</v>
      </c>
    </row>
    <row r="30" spans="1:37" x14ac:dyDescent="0.2">
      <c r="B30" s="452" t="s">
        <v>291</v>
      </c>
      <c r="C30" s="465"/>
      <c r="D30" s="507"/>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516">
        <f t="shared" si="14"/>
        <v>0</v>
      </c>
      <c r="AJ30" s="516">
        <f t="shared" si="15"/>
        <v>0</v>
      </c>
      <c r="AK30" s="516">
        <f t="shared" si="16"/>
        <v>0</v>
      </c>
    </row>
    <row r="31" spans="1:37" x14ac:dyDescent="0.2">
      <c r="B31" s="451" t="str">
        <f>地域経済性分析・初期条件!B37</f>
        <v>燃料　調達</v>
      </c>
      <c r="C31" s="464" t="s">
        <v>37</v>
      </c>
      <c r="D31" s="507">
        <v>0</v>
      </c>
      <c r="E31" s="479">
        <f>地域経済性分析・初期条件!D37</f>
        <v>-231000000</v>
      </c>
      <c r="F31" s="479">
        <f>E31</f>
        <v>-231000000</v>
      </c>
      <c r="G31" s="479">
        <f t="shared" ref="G31:AH31" si="17">F31</f>
        <v>-231000000</v>
      </c>
      <c r="H31" s="479">
        <f t="shared" si="17"/>
        <v>-231000000</v>
      </c>
      <c r="I31" s="479">
        <f t="shared" si="17"/>
        <v>-231000000</v>
      </c>
      <c r="J31" s="479">
        <f t="shared" si="17"/>
        <v>-231000000</v>
      </c>
      <c r="K31" s="479">
        <f t="shared" si="17"/>
        <v>-231000000</v>
      </c>
      <c r="L31" s="479">
        <f t="shared" si="17"/>
        <v>-231000000</v>
      </c>
      <c r="M31" s="479">
        <f t="shared" si="17"/>
        <v>-231000000</v>
      </c>
      <c r="N31" s="479">
        <f t="shared" si="17"/>
        <v>-231000000</v>
      </c>
      <c r="O31" s="479">
        <f t="shared" si="17"/>
        <v>-231000000</v>
      </c>
      <c r="P31" s="479">
        <f t="shared" si="17"/>
        <v>-231000000</v>
      </c>
      <c r="Q31" s="479">
        <f t="shared" si="17"/>
        <v>-231000000</v>
      </c>
      <c r="R31" s="479">
        <f t="shared" si="17"/>
        <v>-231000000</v>
      </c>
      <c r="S31" s="479">
        <f t="shared" si="17"/>
        <v>-231000000</v>
      </c>
      <c r="T31" s="479">
        <f t="shared" si="17"/>
        <v>-231000000</v>
      </c>
      <c r="U31" s="479">
        <f t="shared" si="17"/>
        <v>-231000000</v>
      </c>
      <c r="V31" s="479">
        <f t="shared" si="17"/>
        <v>-231000000</v>
      </c>
      <c r="W31" s="479">
        <f t="shared" si="17"/>
        <v>-231000000</v>
      </c>
      <c r="X31" s="479">
        <f t="shared" si="17"/>
        <v>-231000000</v>
      </c>
      <c r="Y31" s="479">
        <f t="shared" si="17"/>
        <v>-231000000</v>
      </c>
      <c r="Z31" s="479">
        <f t="shared" si="17"/>
        <v>-231000000</v>
      </c>
      <c r="AA31" s="479">
        <f t="shared" si="17"/>
        <v>-231000000</v>
      </c>
      <c r="AB31" s="479">
        <f t="shared" si="17"/>
        <v>-231000000</v>
      </c>
      <c r="AC31" s="479">
        <f t="shared" si="17"/>
        <v>-231000000</v>
      </c>
      <c r="AD31" s="479">
        <f t="shared" si="17"/>
        <v>-231000000</v>
      </c>
      <c r="AE31" s="479">
        <f t="shared" si="17"/>
        <v>-231000000</v>
      </c>
      <c r="AF31" s="479">
        <f t="shared" si="17"/>
        <v>-231000000</v>
      </c>
      <c r="AG31" s="479">
        <f t="shared" si="17"/>
        <v>-231000000</v>
      </c>
      <c r="AH31" s="479">
        <f t="shared" si="17"/>
        <v>-231000000</v>
      </c>
      <c r="AI31" s="516">
        <f t="shared" si="14"/>
        <v>-2310000000</v>
      </c>
      <c r="AJ31" s="516">
        <f t="shared" si="15"/>
        <v>-4620000000</v>
      </c>
      <c r="AK31" s="516">
        <f t="shared" si="16"/>
        <v>-6930000000</v>
      </c>
    </row>
    <row r="32" spans="1:37" x14ac:dyDescent="0.2">
      <c r="B32" s="451" t="str">
        <f>地域経済性分析・初期条件!B41</f>
        <v>薬剤・消耗品費用</v>
      </c>
      <c r="C32" s="464" t="s">
        <v>37</v>
      </c>
      <c r="D32" s="507">
        <v>0</v>
      </c>
      <c r="E32" s="479">
        <f>地域経済性分析・初期条件!D41</f>
        <v>57525830.544324234</v>
      </c>
      <c r="F32" s="479">
        <f t="shared" ref="F32:F36" si="18">E32</f>
        <v>57525830.544324234</v>
      </c>
      <c r="G32" s="479">
        <f t="shared" ref="G32:U32" si="19">F32</f>
        <v>57525830.544324234</v>
      </c>
      <c r="H32" s="479">
        <f t="shared" si="19"/>
        <v>57525830.544324234</v>
      </c>
      <c r="I32" s="479">
        <f t="shared" si="19"/>
        <v>57525830.544324234</v>
      </c>
      <c r="J32" s="479">
        <f t="shared" si="19"/>
        <v>57525830.544324234</v>
      </c>
      <c r="K32" s="479">
        <f t="shared" si="19"/>
        <v>57525830.544324234</v>
      </c>
      <c r="L32" s="479">
        <f t="shared" si="19"/>
        <v>57525830.544324234</v>
      </c>
      <c r="M32" s="479">
        <f t="shared" si="19"/>
        <v>57525830.544324234</v>
      </c>
      <c r="N32" s="479">
        <f t="shared" si="19"/>
        <v>57525830.544324234</v>
      </c>
      <c r="O32" s="479">
        <f t="shared" si="19"/>
        <v>57525830.544324234</v>
      </c>
      <c r="P32" s="479">
        <f t="shared" si="19"/>
        <v>57525830.544324234</v>
      </c>
      <c r="Q32" s="479">
        <f t="shared" si="19"/>
        <v>57525830.544324234</v>
      </c>
      <c r="R32" s="479">
        <f t="shared" si="19"/>
        <v>57525830.544324234</v>
      </c>
      <c r="S32" s="479">
        <f t="shared" si="19"/>
        <v>57525830.544324234</v>
      </c>
      <c r="T32" s="479">
        <f t="shared" si="19"/>
        <v>57525830.544324234</v>
      </c>
      <c r="U32" s="479">
        <f t="shared" si="19"/>
        <v>57525830.544324234</v>
      </c>
      <c r="V32" s="479">
        <f t="shared" ref="G32:AH33" si="20">U32</f>
        <v>57525830.544324234</v>
      </c>
      <c r="W32" s="479">
        <f t="shared" si="20"/>
        <v>57525830.544324234</v>
      </c>
      <c r="X32" s="479">
        <f t="shared" si="20"/>
        <v>57525830.544324234</v>
      </c>
      <c r="Y32" s="479">
        <f t="shared" si="20"/>
        <v>57525830.544324234</v>
      </c>
      <c r="Z32" s="479">
        <f t="shared" si="20"/>
        <v>57525830.544324234</v>
      </c>
      <c r="AA32" s="479">
        <f t="shared" si="20"/>
        <v>57525830.544324234</v>
      </c>
      <c r="AB32" s="479">
        <f t="shared" si="20"/>
        <v>57525830.544324234</v>
      </c>
      <c r="AC32" s="479">
        <f t="shared" si="20"/>
        <v>57525830.544324234</v>
      </c>
      <c r="AD32" s="479">
        <f t="shared" si="20"/>
        <v>57525830.544324234</v>
      </c>
      <c r="AE32" s="479">
        <f t="shared" si="20"/>
        <v>57525830.544324234</v>
      </c>
      <c r="AF32" s="479">
        <f t="shared" si="20"/>
        <v>57525830.544324234</v>
      </c>
      <c r="AG32" s="479">
        <f t="shared" si="20"/>
        <v>57525830.544324234</v>
      </c>
      <c r="AH32" s="479">
        <f t="shared" si="20"/>
        <v>57525830.544324234</v>
      </c>
      <c r="AI32" s="516">
        <f t="shared" si="14"/>
        <v>575258305.44324231</v>
      </c>
      <c r="AJ32" s="516">
        <f t="shared" si="15"/>
        <v>1150516610.8864849</v>
      </c>
      <c r="AK32" s="516">
        <f t="shared" si="16"/>
        <v>1725774916.3297265</v>
      </c>
    </row>
    <row r="33" spans="1:37" x14ac:dyDescent="0.2">
      <c r="A33" s="1251"/>
      <c r="B33" s="1252" t="str">
        <f>地域経済性分析・初期条件!B45</f>
        <v>ユーティリティー費用</v>
      </c>
      <c r="C33" s="1253" t="s">
        <v>37</v>
      </c>
      <c r="D33" s="1254">
        <v>0</v>
      </c>
      <c r="E33" s="1255">
        <f>地域経済性分析・初期条件!D45</f>
        <v>24653927.376138959</v>
      </c>
      <c r="F33" s="1255">
        <f t="shared" si="18"/>
        <v>24653927.376138959</v>
      </c>
      <c r="G33" s="1255">
        <f t="shared" si="20"/>
        <v>24653927.376138959</v>
      </c>
      <c r="H33" s="1255">
        <f t="shared" si="20"/>
        <v>24653927.376138959</v>
      </c>
      <c r="I33" s="1255">
        <f t="shared" si="20"/>
        <v>24653927.376138959</v>
      </c>
      <c r="J33" s="1255">
        <f t="shared" si="20"/>
        <v>24653927.376138959</v>
      </c>
      <c r="K33" s="1255">
        <f t="shared" si="20"/>
        <v>24653927.376138959</v>
      </c>
      <c r="L33" s="1255">
        <f t="shared" si="20"/>
        <v>24653927.376138959</v>
      </c>
      <c r="M33" s="1255">
        <f t="shared" si="20"/>
        <v>24653927.376138959</v>
      </c>
      <c r="N33" s="1255">
        <f t="shared" si="20"/>
        <v>24653927.376138959</v>
      </c>
      <c r="O33" s="1255">
        <f t="shared" si="20"/>
        <v>24653927.376138959</v>
      </c>
      <c r="P33" s="1255">
        <f t="shared" si="20"/>
        <v>24653927.376138959</v>
      </c>
      <c r="Q33" s="1255">
        <f t="shared" si="20"/>
        <v>24653927.376138959</v>
      </c>
      <c r="R33" s="1255">
        <f t="shared" si="20"/>
        <v>24653927.376138959</v>
      </c>
      <c r="S33" s="1255">
        <f t="shared" si="20"/>
        <v>24653927.376138959</v>
      </c>
      <c r="T33" s="1255">
        <f t="shared" si="20"/>
        <v>24653927.376138959</v>
      </c>
      <c r="U33" s="1255">
        <f t="shared" si="20"/>
        <v>24653927.376138959</v>
      </c>
      <c r="V33" s="1255">
        <f t="shared" si="20"/>
        <v>24653927.376138959</v>
      </c>
      <c r="W33" s="1255">
        <f t="shared" si="20"/>
        <v>24653927.376138959</v>
      </c>
      <c r="X33" s="1255">
        <f t="shared" si="20"/>
        <v>24653927.376138959</v>
      </c>
      <c r="Y33" s="1255">
        <f t="shared" si="20"/>
        <v>24653927.376138959</v>
      </c>
      <c r="Z33" s="1255">
        <f t="shared" si="20"/>
        <v>24653927.376138959</v>
      </c>
      <c r="AA33" s="1255">
        <f t="shared" si="20"/>
        <v>24653927.376138959</v>
      </c>
      <c r="AB33" s="1255">
        <f t="shared" si="20"/>
        <v>24653927.376138959</v>
      </c>
      <c r="AC33" s="1255">
        <f t="shared" si="20"/>
        <v>24653927.376138959</v>
      </c>
      <c r="AD33" s="1255">
        <f t="shared" si="20"/>
        <v>24653927.376138959</v>
      </c>
      <c r="AE33" s="1255">
        <f t="shared" si="20"/>
        <v>24653927.376138959</v>
      </c>
      <c r="AF33" s="1255">
        <f t="shared" si="20"/>
        <v>24653927.376138959</v>
      </c>
      <c r="AG33" s="1255">
        <f t="shared" si="20"/>
        <v>24653927.376138959</v>
      </c>
      <c r="AH33" s="1255">
        <f t="shared" si="20"/>
        <v>24653927.376138959</v>
      </c>
      <c r="AI33" s="515">
        <f t="shared" si="14"/>
        <v>246539273.76138958</v>
      </c>
      <c r="AJ33" s="515">
        <f t="shared" si="15"/>
        <v>493078547.52277941</v>
      </c>
      <c r="AK33" s="515">
        <f t="shared" si="16"/>
        <v>739617821.28416872</v>
      </c>
    </row>
    <row r="34" spans="1:37" x14ac:dyDescent="0.2">
      <c r="B34" s="452" t="s">
        <v>15</v>
      </c>
      <c r="C34" s="465"/>
      <c r="D34" s="507"/>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516">
        <f>SUM(D34:N34)</f>
        <v>0</v>
      </c>
      <c r="AJ34" s="516">
        <f>SUM(D34:X34)</f>
        <v>0</v>
      </c>
      <c r="AK34" s="516">
        <f>SUM(D34:AH34)</f>
        <v>0</v>
      </c>
    </row>
    <row r="35" spans="1:37" x14ac:dyDescent="0.2">
      <c r="B35" s="451" t="str">
        <f>地域経済性分析・初期条件!B65</f>
        <v>人件費（他地域）</v>
      </c>
      <c r="C35" s="464" t="s">
        <v>37</v>
      </c>
      <c r="D35" s="507">
        <v>0</v>
      </c>
      <c r="E35" s="479">
        <f>地域経済性分析・初期条件!D65</f>
        <v>41089878.960231602</v>
      </c>
      <c r="F35" s="479">
        <f t="shared" ref="F35:AH35" si="21">E35</f>
        <v>41089878.960231602</v>
      </c>
      <c r="G35" s="479">
        <f t="shared" si="21"/>
        <v>41089878.960231602</v>
      </c>
      <c r="H35" s="479">
        <f t="shared" si="21"/>
        <v>41089878.960231602</v>
      </c>
      <c r="I35" s="479">
        <f t="shared" si="21"/>
        <v>41089878.960231602</v>
      </c>
      <c r="J35" s="479">
        <f t="shared" si="21"/>
        <v>41089878.960231602</v>
      </c>
      <c r="K35" s="479">
        <f t="shared" si="21"/>
        <v>41089878.960231602</v>
      </c>
      <c r="L35" s="479">
        <f t="shared" si="21"/>
        <v>41089878.960231602</v>
      </c>
      <c r="M35" s="479">
        <f t="shared" si="21"/>
        <v>41089878.960231602</v>
      </c>
      <c r="N35" s="479">
        <f t="shared" si="21"/>
        <v>41089878.960231602</v>
      </c>
      <c r="O35" s="479">
        <f t="shared" si="21"/>
        <v>41089878.960231602</v>
      </c>
      <c r="P35" s="479">
        <f t="shared" si="21"/>
        <v>41089878.960231602</v>
      </c>
      <c r="Q35" s="479">
        <f t="shared" si="21"/>
        <v>41089878.960231602</v>
      </c>
      <c r="R35" s="479">
        <f t="shared" si="21"/>
        <v>41089878.960231602</v>
      </c>
      <c r="S35" s="479">
        <f t="shared" si="21"/>
        <v>41089878.960231602</v>
      </c>
      <c r="T35" s="479">
        <f t="shared" si="21"/>
        <v>41089878.960231602</v>
      </c>
      <c r="U35" s="479">
        <f t="shared" si="21"/>
        <v>41089878.960231602</v>
      </c>
      <c r="V35" s="479">
        <f t="shared" si="21"/>
        <v>41089878.960231602</v>
      </c>
      <c r="W35" s="479">
        <f t="shared" si="21"/>
        <v>41089878.960231602</v>
      </c>
      <c r="X35" s="479">
        <f t="shared" si="21"/>
        <v>41089878.960231602</v>
      </c>
      <c r="Y35" s="479">
        <f t="shared" si="21"/>
        <v>41089878.960231602</v>
      </c>
      <c r="Z35" s="479">
        <f t="shared" si="21"/>
        <v>41089878.960231602</v>
      </c>
      <c r="AA35" s="479">
        <f t="shared" si="21"/>
        <v>41089878.960231602</v>
      </c>
      <c r="AB35" s="479">
        <f t="shared" si="21"/>
        <v>41089878.960231602</v>
      </c>
      <c r="AC35" s="479">
        <f t="shared" si="21"/>
        <v>41089878.960231602</v>
      </c>
      <c r="AD35" s="479">
        <f t="shared" si="21"/>
        <v>41089878.960231602</v>
      </c>
      <c r="AE35" s="479">
        <f t="shared" si="21"/>
        <v>41089878.960231602</v>
      </c>
      <c r="AF35" s="479">
        <f t="shared" si="21"/>
        <v>41089878.960231602</v>
      </c>
      <c r="AG35" s="479">
        <f t="shared" si="21"/>
        <v>41089878.960231602</v>
      </c>
      <c r="AH35" s="479">
        <f t="shared" si="21"/>
        <v>41089878.960231602</v>
      </c>
      <c r="AI35" s="516">
        <f>SUM(D35:N35)</f>
        <v>410898789.60231602</v>
      </c>
      <c r="AJ35" s="516">
        <f>SUM(D35:X35)</f>
        <v>821797579.20463181</v>
      </c>
      <c r="AK35" s="516">
        <f>SUM(D35:AH35)</f>
        <v>1232696368.8069472</v>
      </c>
    </row>
    <row r="36" spans="1:37" x14ac:dyDescent="0.2">
      <c r="B36" s="451" t="str">
        <f>地域経済性分析・初期条件!B69</f>
        <v>メンテナンス費</v>
      </c>
      <c r="C36" s="464" t="s">
        <v>37</v>
      </c>
      <c r="D36" s="507">
        <v>0</v>
      </c>
      <c r="E36" s="479">
        <f>地域経済性分析・初期条件!D69</f>
        <v>24653927.376138959</v>
      </c>
      <c r="F36" s="479">
        <f t="shared" si="18"/>
        <v>24653927.376138959</v>
      </c>
      <c r="G36" s="479">
        <f t="shared" ref="G36:AH36" si="22">F36</f>
        <v>24653927.376138959</v>
      </c>
      <c r="H36" s="479">
        <f t="shared" si="22"/>
        <v>24653927.376138959</v>
      </c>
      <c r="I36" s="479">
        <f t="shared" si="22"/>
        <v>24653927.376138959</v>
      </c>
      <c r="J36" s="479">
        <f t="shared" si="22"/>
        <v>24653927.376138959</v>
      </c>
      <c r="K36" s="479">
        <f t="shared" si="22"/>
        <v>24653927.376138959</v>
      </c>
      <c r="L36" s="479">
        <f t="shared" si="22"/>
        <v>24653927.376138959</v>
      </c>
      <c r="M36" s="479">
        <f t="shared" si="22"/>
        <v>24653927.376138959</v>
      </c>
      <c r="N36" s="479">
        <f t="shared" si="22"/>
        <v>24653927.376138959</v>
      </c>
      <c r="O36" s="479">
        <f t="shared" si="22"/>
        <v>24653927.376138959</v>
      </c>
      <c r="P36" s="479">
        <f t="shared" si="22"/>
        <v>24653927.376138959</v>
      </c>
      <c r="Q36" s="479">
        <f t="shared" si="22"/>
        <v>24653927.376138959</v>
      </c>
      <c r="R36" s="479">
        <f t="shared" si="22"/>
        <v>24653927.376138959</v>
      </c>
      <c r="S36" s="479">
        <f t="shared" si="22"/>
        <v>24653927.376138959</v>
      </c>
      <c r="T36" s="479">
        <f t="shared" si="22"/>
        <v>24653927.376138959</v>
      </c>
      <c r="U36" s="479">
        <f t="shared" si="22"/>
        <v>24653927.376138959</v>
      </c>
      <c r="V36" s="479">
        <f t="shared" si="22"/>
        <v>24653927.376138959</v>
      </c>
      <c r="W36" s="479">
        <f t="shared" si="22"/>
        <v>24653927.376138959</v>
      </c>
      <c r="X36" s="479">
        <f t="shared" si="22"/>
        <v>24653927.376138959</v>
      </c>
      <c r="Y36" s="479">
        <f t="shared" si="22"/>
        <v>24653927.376138959</v>
      </c>
      <c r="Z36" s="479">
        <f t="shared" si="22"/>
        <v>24653927.376138959</v>
      </c>
      <c r="AA36" s="479">
        <f t="shared" si="22"/>
        <v>24653927.376138959</v>
      </c>
      <c r="AB36" s="479">
        <f t="shared" si="22"/>
        <v>24653927.376138959</v>
      </c>
      <c r="AC36" s="479">
        <f t="shared" si="22"/>
        <v>24653927.376138959</v>
      </c>
      <c r="AD36" s="479">
        <f t="shared" si="22"/>
        <v>24653927.376138959</v>
      </c>
      <c r="AE36" s="479">
        <f t="shared" si="22"/>
        <v>24653927.376138959</v>
      </c>
      <c r="AF36" s="479">
        <f t="shared" si="22"/>
        <v>24653927.376138959</v>
      </c>
      <c r="AG36" s="479">
        <f t="shared" si="22"/>
        <v>24653927.376138959</v>
      </c>
      <c r="AH36" s="479">
        <f t="shared" si="22"/>
        <v>24653927.376138959</v>
      </c>
      <c r="AI36" s="516">
        <f t="shared" si="14"/>
        <v>246539273.76138958</v>
      </c>
      <c r="AJ36" s="516">
        <f t="shared" si="15"/>
        <v>493078547.52277941</v>
      </c>
      <c r="AK36" s="516">
        <f t="shared" si="16"/>
        <v>739617821.28416872</v>
      </c>
    </row>
    <row r="37" spans="1:37" x14ac:dyDescent="0.2">
      <c r="A37" s="1251"/>
      <c r="B37" s="1252" t="str">
        <f>地域経済性分析・初期条件!B73</f>
        <v>一般管理費</v>
      </c>
      <c r="C37" s="1253" t="s">
        <v>37</v>
      </c>
      <c r="D37" s="1254">
        <v>0</v>
      </c>
      <c r="E37" s="1255">
        <f>地域経済性分析・初期条件!D73</f>
        <v>16435951.584092641</v>
      </c>
      <c r="F37" s="1255">
        <f t="shared" ref="F37:AH37" si="23">E37</f>
        <v>16435951.584092641</v>
      </c>
      <c r="G37" s="1255">
        <f t="shared" si="23"/>
        <v>16435951.584092641</v>
      </c>
      <c r="H37" s="1255">
        <f t="shared" si="23"/>
        <v>16435951.584092641</v>
      </c>
      <c r="I37" s="1255">
        <f t="shared" si="23"/>
        <v>16435951.584092641</v>
      </c>
      <c r="J37" s="1255">
        <f t="shared" si="23"/>
        <v>16435951.584092641</v>
      </c>
      <c r="K37" s="1255">
        <f t="shared" si="23"/>
        <v>16435951.584092641</v>
      </c>
      <c r="L37" s="1255">
        <f t="shared" si="23"/>
        <v>16435951.584092641</v>
      </c>
      <c r="M37" s="1255">
        <f t="shared" si="23"/>
        <v>16435951.584092641</v>
      </c>
      <c r="N37" s="1255">
        <f t="shared" si="23"/>
        <v>16435951.584092641</v>
      </c>
      <c r="O37" s="1255">
        <f t="shared" si="23"/>
        <v>16435951.584092641</v>
      </c>
      <c r="P37" s="1255">
        <f t="shared" si="23"/>
        <v>16435951.584092641</v>
      </c>
      <c r="Q37" s="1255">
        <f t="shared" si="23"/>
        <v>16435951.584092641</v>
      </c>
      <c r="R37" s="1255">
        <f t="shared" si="23"/>
        <v>16435951.584092641</v>
      </c>
      <c r="S37" s="1255">
        <f t="shared" si="23"/>
        <v>16435951.584092641</v>
      </c>
      <c r="T37" s="1255">
        <f t="shared" si="23"/>
        <v>16435951.584092641</v>
      </c>
      <c r="U37" s="1255">
        <f t="shared" si="23"/>
        <v>16435951.584092641</v>
      </c>
      <c r="V37" s="1255">
        <f t="shared" si="23"/>
        <v>16435951.584092641</v>
      </c>
      <c r="W37" s="1255">
        <f t="shared" si="23"/>
        <v>16435951.584092641</v>
      </c>
      <c r="X37" s="1255">
        <f t="shared" si="23"/>
        <v>16435951.584092641</v>
      </c>
      <c r="Y37" s="1255">
        <f t="shared" si="23"/>
        <v>16435951.584092641</v>
      </c>
      <c r="Z37" s="1255">
        <f t="shared" si="23"/>
        <v>16435951.584092641</v>
      </c>
      <c r="AA37" s="1255">
        <f t="shared" si="23"/>
        <v>16435951.584092641</v>
      </c>
      <c r="AB37" s="1255">
        <f t="shared" si="23"/>
        <v>16435951.584092641</v>
      </c>
      <c r="AC37" s="1255">
        <f t="shared" si="23"/>
        <v>16435951.584092641</v>
      </c>
      <c r="AD37" s="1255">
        <f t="shared" si="23"/>
        <v>16435951.584092641</v>
      </c>
      <c r="AE37" s="1255">
        <f t="shared" si="23"/>
        <v>16435951.584092641</v>
      </c>
      <c r="AF37" s="1255">
        <f t="shared" si="23"/>
        <v>16435951.584092641</v>
      </c>
      <c r="AG37" s="1255">
        <f t="shared" si="23"/>
        <v>16435951.584092641</v>
      </c>
      <c r="AH37" s="1255">
        <f t="shared" si="23"/>
        <v>16435951.584092641</v>
      </c>
      <c r="AI37" s="515">
        <f>SUM(D37:N37)</f>
        <v>164359515.84092644</v>
      </c>
      <c r="AJ37" s="515">
        <f>SUM(D37:X37)</f>
        <v>328719031.68185282</v>
      </c>
      <c r="AK37" s="515">
        <f>SUM(D37:AH37)</f>
        <v>493078547.52277899</v>
      </c>
    </row>
    <row r="38" spans="1:37" x14ac:dyDescent="0.2">
      <c r="B38" s="452" t="s">
        <v>209</v>
      </c>
      <c r="C38" s="465"/>
      <c r="D38" s="507"/>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516"/>
      <c r="AJ38" s="516"/>
      <c r="AK38" s="516">
        <f t="shared" si="16"/>
        <v>0</v>
      </c>
    </row>
    <row r="39" spans="1:37" x14ac:dyDescent="0.2">
      <c r="B39" s="451" t="s">
        <v>681</v>
      </c>
      <c r="C39" s="464" t="s">
        <v>37</v>
      </c>
      <c r="D39" s="507">
        <v>0</v>
      </c>
      <c r="E39" s="479">
        <f>-計算シート!E189</f>
        <v>10000000</v>
      </c>
      <c r="F39" s="479">
        <f>-計算シート!F189</f>
        <v>9500000</v>
      </c>
      <c r="G39" s="479">
        <f>-計算シート!G189</f>
        <v>9000000</v>
      </c>
      <c r="H39" s="479">
        <f>-計算シート!H189</f>
        <v>8500000</v>
      </c>
      <c r="I39" s="479">
        <f>-計算シート!I189</f>
        <v>8000000</v>
      </c>
      <c r="J39" s="479">
        <f>-計算シート!J189</f>
        <v>7500000</v>
      </c>
      <c r="K39" s="479">
        <f>-計算シート!K189</f>
        <v>7000000</v>
      </c>
      <c r="L39" s="479">
        <f>-計算シート!L189</f>
        <v>6500000</v>
      </c>
      <c r="M39" s="479">
        <f>-計算シート!M189</f>
        <v>6000000</v>
      </c>
      <c r="N39" s="479">
        <f>-計算シート!N189</f>
        <v>5500000</v>
      </c>
      <c r="O39" s="479">
        <f>-計算シート!O189</f>
        <v>5000000</v>
      </c>
      <c r="P39" s="479">
        <f>-計算シート!P189</f>
        <v>4500000</v>
      </c>
      <c r="Q39" s="479">
        <f>-計算シート!Q189</f>
        <v>4000000</v>
      </c>
      <c r="R39" s="479">
        <f>-計算シート!R189</f>
        <v>3500000</v>
      </c>
      <c r="S39" s="479">
        <f>-計算シート!S189</f>
        <v>3000000</v>
      </c>
      <c r="T39" s="479">
        <f>-計算シート!T189</f>
        <v>2500000</v>
      </c>
      <c r="U39" s="479">
        <f>-計算シート!U189</f>
        <v>2000000</v>
      </c>
      <c r="V39" s="479">
        <f>-計算シート!V189</f>
        <v>1500000</v>
      </c>
      <c r="W39" s="479">
        <f>-計算シート!W189</f>
        <v>1000000</v>
      </c>
      <c r="X39" s="479">
        <f>-計算シート!X189</f>
        <v>500000</v>
      </c>
      <c r="Y39" s="479">
        <f>-計算シート!Y189</f>
        <v>0</v>
      </c>
      <c r="Z39" s="479">
        <f>-計算シート!Z189</f>
        <v>0</v>
      </c>
      <c r="AA39" s="479">
        <f>-計算シート!AA189</f>
        <v>0</v>
      </c>
      <c r="AB39" s="479">
        <f>-計算シート!AB189</f>
        <v>0</v>
      </c>
      <c r="AC39" s="479">
        <f>-計算シート!AC189</f>
        <v>0</v>
      </c>
      <c r="AD39" s="479">
        <f>-計算シート!AD189</f>
        <v>0</v>
      </c>
      <c r="AE39" s="479">
        <f>-計算シート!AE189</f>
        <v>0</v>
      </c>
      <c r="AF39" s="479">
        <f>-計算シート!AF189</f>
        <v>0</v>
      </c>
      <c r="AG39" s="479">
        <f>-計算シート!AG189</f>
        <v>0</v>
      </c>
      <c r="AH39" s="479">
        <f>-計算シート!AH189</f>
        <v>0</v>
      </c>
      <c r="AI39" s="516">
        <f>SUM(D39:N39)</f>
        <v>77500000</v>
      </c>
      <c r="AJ39" s="516">
        <f>SUM(D39:X39)</f>
        <v>105000000</v>
      </c>
      <c r="AK39" s="516">
        <f t="shared" si="16"/>
        <v>105000000</v>
      </c>
    </row>
    <row r="40" spans="1:37" x14ac:dyDescent="0.2">
      <c r="B40" s="451" t="s">
        <v>682</v>
      </c>
      <c r="C40" s="464" t="s">
        <v>37</v>
      </c>
      <c r="D40" s="507">
        <v>0</v>
      </c>
      <c r="E40" s="479">
        <f>計算シート!E193</f>
        <v>0</v>
      </c>
      <c r="F40" s="479">
        <f>計算シート!F193</f>
        <v>0</v>
      </c>
      <c r="G40" s="479">
        <f>計算シート!G193</f>
        <v>0</v>
      </c>
      <c r="H40" s="479">
        <f>計算シート!H193</f>
        <v>0</v>
      </c>
      <c r="I40" s="479">
        <f>計算シート!I193</f>
        <v>0</v>
      </c>
      <c r="J40" s="479">
        <f>計算シート!J193</f>
        <v>0</v>
      </c>
      <c r="K40" s="479">
        <f>計算シート!K193</f>
        <v>0</v>
      </c>
      <c r="L40" s="479">
        <f>計算シート!L193</f>
        <v>0</v>
      </c>
      <c r="M40" s="479">
        <f>計算シート!M193</f>
        <v>0</v>
      </c>
      <c r="N40" s="479">
        <f>計算シート!N193</f>
        <v>0</v>
      </c>
      <c r="O40" s="479">
        <f>計算シート!O193</f>
        <v>0</v>
      </c>
      <c r="P40" s="479">
        <f>計算シート!P193</f>
        <v>0</v>
      </c>
      <c r="Q40" s="479">
        <f>計算シート!Q193</f>
        <v>0</v>
      </c>
      <c r="R40" s="479">
        <f>計算シート!R193</f>
        <v>0</v>
      </c>
      <c r="S40" s="479">
        <f>計算シート!S193</f>
        <v>0</v>
      </c>
      <c r="T40" s="479">
        <f>計算シート!T193</f>
        <v>0</v>
      </c>
      <c r="U40" s="479">
        <f>計算シート!U193</f>
        <v>0</v>
      </c>
      <c r="V40" s="479">
        <f>計算シート!V193</f>
        <v>0</v>
      </c>
      <c r="W40" s="479">
        <f>計算シート!W193</f>
        <v>0</v>
      </c>
      <c r="X40" s="479">
        <f>計算シート!X193</f>
        <v>0</v>
      </c>
      <c r="Y40" s="479">
        <f>計算シート!Y193</f>
        <v>0</v>
      </c>
      <c r="Z40" s="479">
        <f>計算シート!Z193</f>
        <v>0</v>
      </c>
      <c r="AA40" s="479">
        <f>計算シート!AA193</f>
        <v>0</v>
      </c>
      <c r="AB40" s="479">
        <f>計算シート!AB193</f>
        <v>0</v>
      </c>
      <c r="AC40" s="479">
        <f>計算シート!AC193</f>
        <v>0</v>
      </c>
      <c r="AD40" s="479">
        <f>計算シート!AD193</f>
        <v>0</v>
      </c>
      <c r="AE40" s="479">
        <f>計算シート!AE193</f>
        <v>0</v>
      </c>
      <c r="AF40" s="479">
        <f>計算シート!AF193</f>
        <v>0</v>
      </c>
      <c r="AG40" s="479">
        <f>計算シート!AG193</f>
        <v>0</v>
      </c>
      <c r="AH40" s="479">
        <f>計算シート!AH193</f>
        <v>0</v>
      </c>
      <c r="AI40" s="516">
        <f>SUM(D40:N40)</f>
        <v>0</v>
      </c>
      <c r="AJ40" s="516">
        <f>SUM(D40:X40)</f>
        <v>0</v>
      </c>
      <c r="AK40" s="516">
        <f t="shared" ref="AK40" si="24">SUM(D40:AH40)</f>
        <v>0</v>
      </c>
    </row>
    <row r="41" spans="1:37" x14ac:dyDescent="0.2">
      <c r="B41" s="451" t="s">
        <v>47</v>
      </c>
      <c r="C41" s="464" t="s">
        <v>37</v>
      </c>
      <c r="D41" s="507">
        <v>0</v>
      </c>
      <c r="E41" s="479">
        <f>-計算シート!E82</f>
        <v>21891656.892474696</v>
      </c>
      <c r="F41" s="479">
        <f>-計算シート!F82</f>
        <v>20653049.989347842</v>
      </c>
      <c r="G41" s="479">
        <f>-計算シート!G82</f>
        <v>19414443.086220983</v>
      </c>
      <c r="H41" s="479">
        <f>-計算シート!H82</f>
        <v>18175836.183094125</v>
      </c>
      <c r="I41" s="479">
        <f>-計算シート!I82</f>
        <v>16937229.279967267</v>
      </c>
      <c r="J41" s="479">
        <f>-計算シート!J82</f>
        <v>15698622.376840409</v>
      </c>
      <c r="K41" s="479">
        <f>-計算シート!K82</f>
        <v>14460015.473713551</v>
      </c>
      <c r="L41" s="479">
        <f>-計算シート!L82</f>
        <v>13221408.570586693</v>
      </c>
      <c r="M41" s="479">
        <f>-計算シート!M82</f>
        <v>11982801.667459836</v>
      </c>
      <c r="N41" s="479">
        <f>-計算シート!N82</f>
        <v>10744194.764332978</v>
      </c>
      <c r="O41" s="479">
        <f>-計算シート!O82</f>
        <v>9505587.8612061199</v>
      </c>
      <c r="P41" s="479">
        <f>-計算シート!P82</f>
        <v>8266980.9580792617</v>
      </c>
      <c r="Q41" s="479">
        <f>-計算シート!Q82</f>
        <v>7028374.0549524045</v>
      </c>
      <c r="R41" s="479">
        <f>-計算シート!R82</f>
        <v>5789767.1518255463</v>
      </c>
      <c r="S41" s="479">
        <f>-計算シート!S82</f>
        <v>4551160.248698689</v>
      </c>
      <c r="T41" s="479">
        <f>-計算シート!T82</f>
        <v>3312553.3455718309</v>
      </c>
      <c r="U41" s="479">
        <f>-計算シート!U82</f>
        <v>3168529.2870687079</v>
      </c>
      <c r="V41" s="479">
        <f>-計算シート!V82</f>
        <v>3024505.2285655849</v>
      </c>
      <c r="W41" s="479">
        <f>-計算シート!W82</f>
        <v>2880481.1700624619</v>
      </c>
      <c r="X41" s="479">
        <f>-計算シート!X82</f>
        <v>2736457.1115593389</v>
      </c>
      <c r="Y41" s="479">
        <f>-計算シート!Y82</f>
        <v>2592433.0530562159</v>
      </c>
      <c r="Z41" s="479">
        <f>-計算シート!Z82</f>
        <v>2448408.9945530929</v>
      </c>
      <c r="AA41" s="479">
        <f>-計算シート!AA82</f>
        <v>2304384.9360499699</v>
      </c>
      <c r="AB41" s="479">
        <f>-計算シート!AB82</f>
        <v>2160360.8775468469</v>
      </c>
      <c r="AC41" s="479">
        <f>-計算シート!AC82</f>
        <v>2016336.8190437239</v>
      </c>
      <c r="AD41" s="479">
        <f>-計算シート!AD82</f>
        <v>1872312.7605406009</v>
      </c>
      <c r="AE41" s="479">
        <f>-計算シート!AE82</f>
        <v>1728288.7020374779</v>
      </c>
      <c r="AF41" s="479">
        <f>-計算シート!AF82</f>
        <v>1584264.6435343549</v>
      </c>
      <c r="AG41" s="479">
        <f>-計算シート!AG82</f>
        <v>1440240.5850312319</v>
      </c>
      <c r="AH41" s="479">
        <f>-計算シート!AH82</f>
        <v>1296216.5265281089</v>
      </c>
      <c r="AI41" s="516">
        <f>SUM(D41:N41)</f>
        <v>163179258.28403839</v>
      </c>
      <c r="AJ41" s="516">
        <f>SUM(D41:X41)</f>
        <v>213443654.70162827</v>
      </c>
      <c r="AK41" s="516">
        <f t="shared" si="16"/>
        <v>232886902.59954992</v>
      </c>
    </row>
    <row r="42" spans="1:37" x14ac:dyDescent="0.2">
      <c r="B42" s="451" t="s">
        <v>211</v>
      </c>
      <c r="C42" s="464" t="s">
        <v>37</v>
      </c>
      <c r="D42" s="507">
        <f t="shared" ref="D42:AH42" si="25">D21</f>
        <v>0</v>
      </c>
      <c r="E42" s="507">
        <f t="shared" si="25"/>
        <v>716841.98147460946</v>
      </c>
      <c r="F42" s="507">
        <f t="shared" si="25"/>
        <v>716841.98147460946</v>
      </c>
      <c r="G42" s="507">
        <f t="shared" si="25"/>
        <v>716841.98147460946</v>
      </c>
      <c r="H42" s="507">
        <f t="shared" si="25"/>
        <v>716841.98147460946</v>
      </c>
      <c r="I42" s="507">
        <f t="shared" si="25"/>
        <v>716841.98147460946</v>
      </c>
      <c r="J42" s="507">
        <f t="shared" si="25"/>
        <v>716841.98147460946</v>
      </c>
      <c r="K42" s="507">
        <f t="shared" si="25"/>
        <v>716841.98147460946</v>
      </c>
      <c r="L42" s="507">
        <f t="shared" si="25"/>
        <v>716841.98147460946</v>
      </c>
      <c r="M42" s="507">
        <f t="shared" si="25"/>
        <v>716841.98147460946</v>
      </c>
      <c r="N42" s="507">
        <f t="shared" si="25"/>
        <v>716841.98147460946</v>
      </c>
      <c r="O42" s="507">
        <f t="shared" si="25"/>
        <v>716841.98147460946</v>
      </c>
      <c r="P42" s="507">
        <f t="shared" si="25"/>
        <v>716841.98147460946</v>
      </c>
      <c r="Q42" s="507">
        <f t="shared" si="25"/>
        <v>716841.98147460946</v>
      </c>
      <c r="R42" s="507">
        <f t="shared" si="25"/>
        <v>716841.98147460946</v>
      </c>
      <c r="S42" s="507">
        <f t="shared" si="25"/>
        <v>716841.98147460946</v>
      </c>
      <c r="T42" s="507">
        <f t="shared" si="25"/>
        <v>716841.98147460946</v>
      </c>
      <c r="U42" s="507">
        <f t="shared" si="25"/>
        <v>716841.98147460946</v>
      </c>
      <c r="V42" s="507">
        <f t="shared" si="25"/>
        <v>716841.98147460946</v>
      </c>
      <c r="W42" s="507">
        <f t="shared" si="25"/>
        <v>716841.98147460946</v>
      </c>
      <c r="X42" s="507">
        <f t="shared" si="25"/>
        <v>716841.98147460946</v>
      </c>
      <c r="Y42" s="507">
        <f t="shared" si="25"/>
        <v>716841.98147460946</v>
      </c>
      <c r="Z42" s="507">
        <f t="shared" si="25"/>
        <v>716841.98147460946</v>
      </c>
      <c r="AA42" s="507">
        <f t="shared" si="25"/>
        <v>716841.98147460946</v>
      </c>
      <c r="AB42" s="507">
        <f t="shared" si="25"/>
        <v>716841.98147460946</v>
      </c>
      <c r="AC42" s="507">
        <f t="shared" si="25"/>
        <v>716841.98147460946</v>
      </c>
      <c r="AD42" s="507">
        <f t="shared" si="25"/>
        <v>716841.98147460946</v>
      </c>
      <c r="AE42" s="507">
        <f t="shared" si="25"/>
        <v>716841.98147460946</v>
      </c>
      <c r="AF42" s="507">
        <f t="shared" si="25"/>
        <v>716841.98147460946</v>
      </c>
      <c r="AG42" s="507">
        <f t="shared" si="25"/>
        <v>716841.98147460946</v>
      </c>
      <c r="AH42" s="507">
        <f t="shared" si="25"/>
        <v>716841.98147460946</v>
      </c>
      <c r="AI42" s="516">
        <f>SUM(D42:N42)</f>
        <v>7168419.814746093</v>
      </c>
      <c r="AJ42" s="516">
        <f>SUM(D42:X42)</f>
        <v>14336839.629492192</v>
      </c>
      <c r="AK42" s="516">
        <f>SUM(D42:AH42)</f>
        <v>21505259.444238279</v>
      </c>
    </row>
    <row r="43" spans="1:37" ht="11.5" thickBot="1" x14ac:dyDescent="0.25">
      <c r="A43" s="481"/>
      <c r="B43" s="500"/>
      <c r="C43" s="480"/>
      <c r="D43" s="520"/>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517"/>
      <c r="AJ43" s="517"/>
      <c r="AK43" s="517">
        <f t="shared" si="16"/>
        <v>0</v>
      </c>
    </row>
    <row r="44" spans="1:37" ht="11.5" thickBot="1" x14ac:dyDescent="0.25"/>
    <row r="45" spans="1:37" ht="12" thickBot="1" x14ac:dyDescent="0.3">
      <c r="A45" s="498"/>
      <c r="B45" s="498" t="s">
        <v>248</v>
      </c>
      <c r="C45" s="460"/>
      <c r="D45" s="594">
        <v>0</v>
      </c>
      <c r="E45" s="461">
        <v>1</v>
      </c>
      <c r="F45" s="461">
        <v>2</v>
      </c>
      <c r="G45" s="461">
        <v>3</v>
      </c>
      <c r="H45" s="461">
        <v>4</v>
      </c>
      <c r="I45" s="461">
        <v>5</v>
      </c>
      <c r="J45" s="461">
        <v>6</v>
      </c>
      <c r="K45" s="461">
        <v>7</v>
      </c>
      <c r="L45" s="461">
        <v>8</v>
      </c>
      <c r="M45" s="461">
        <v>9</v>
      </c>
      <c r="N45" s="461">
        <v>10</v>
      </c>
      <c r="O45" s="461">
        <v>11</v>
      </c>
      <c r="P45" s="461">
        <v>12</v>
      </c>
      <c r="Q45" s="461">
        <v>13</v>
      </c>
      <c r="R45" s="461">
        <v>14</v>
      </c>
      <c r="S45" s="461">
        <v>15</v>
      </c>
      <c r="T45" s="461">
        <v>16</v>
      </c>
      <c r="U45" s="461">
        <v>17</v>
      </c>
      <c r="V45" s="461">
        <v>18</v>
      </c>
      <c r="W45" s="461">
        <v>19</v>
      </c>
      <c r="X45" s="462">
        <v>20</v>
      </c>
      <c r="Y45" s="462">
        <v>21</v>
      </c>
      <c r="Z45" s="462">
        <v>22</v>
      </c>
      <c r="AA45" s="462">
        <v>23</v>
      </c>
      <c r="AB45" s="462">
        <v>24</v>
      </c>
      <c r="AC45" s="462">
        <v>25</v>
      </c>
      <c r="AD45" s="462">
        <v>26</v>
      </c>
      <c r="AE45" s="462">
        <v>27</v>
      </c>
      <c r="AF45" s="462">
        <v>28</v>
      </c>
      <c r="AG45" s="462">
        <v>29</v>
      </c>
      <c r="AH45" s="547">
        <v>30</v>
      </c>
      <c r="AI45" s="549" t="s">
        <v>306</v>
      </c>
      <c r="AJ45" s="549" t="s">
        <v>270</v>
      </c>
      <c r="AK45" s="539" t="s">
        <v>271</v>
      </c>
    </row>
    <row r="46" spans="1:37" ht="11.5" x14ac:dyDescent="0.25">
      <c r="A46" s="452" t="s">
        <v>206</v>
      </c>
      <c r="C46" s="463"/>
      <c r="D46" s="507"/>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548"/>
      <c r="AJ46" s="548"/>
      <c r="AK46" s="510"/>
    </row>
    <row r="47" spans="1:37" ht="11.5" x14ac:dyDescent="0.25">
      <c r="A47" s="452" t="str">
        <f>B28</f>
        <v>設備費用</v>
      </c>
      <c r="C47" s="464" t="s">
        <v>37</v>
      </c>
      <c r="D47" s="507">
        <f>D28</f>
        <v>1172767333.5254302</v>
      </c>
      <c r="E47" s="507">
        <f t="shared" ref="E47:AH47" si="26">E28</f>
        <v>0</v>
      </c>
      <c r="F47" s="507">
        <f t="shared" si="26"/>
        <v>0</v>
      </c>
      <c r="G47" s="507">
        <f t="shared" si="26"/>
        <v>0</v>
      </c>
      <c r="H47" s="507">
        <f t="shared" si="26"/>
        <v>0</v>
      </c>
      <c r="I47" s="507">
        <f t="shared" si="26"/>
        <v>0</v>
      </c>
      <c r="J47" s="507">
        <f t="shared" si="26"/>
        <v>0</v>
      </c>
      <c r="K47" s="507">
        <f t="shared" si="26"/>
        <v>0</v>
      </c>
      <c r="L47" s="507">
        <f t="shared" si="26"/>
        <v>0</v>
      </c>
      <c r="M47" s="507">
        <f t="shared" si="26"/>
        <v>0</v>
      </c>
      <c r="N47" s="507">
        <f t="shared" si="26"/>
        <v>0</v>
      </c>
      <c r="O47" s="507">
        <f t="shared" si="26"/>
        <v>0</v>
      </c>
      <c r="P47" s="507">
        <f t="shared" si="26"/>
        <v>0</v>
      </c>
      <c r="Q47" s="507">
        <f t="shared" si="26"/>
        <v>0</v>
      </c>
      <c r="R47" s="507">
        <f t="shared" si="26"/>
        <v>0</v>
      </c>
      <c r="S47" s="507">
        <f t="shared" si="26"/>
        <v>0</v>
      </c>
      <c r="T47" s="507">
        <f t="shared" si="26"/>
        <v>0</v>
      </c>
      <c r="U47" s="507">
        <f t="shared" si="26"/>
        <v>0</v>
      </c>
      <c r="V47" s="507">
        <f t="shared" si="26"/>
        <v>0</v>
      </c>
      <c r="W47" s="507">
        <f t="shared" si="26"/>
        <v>0</v>
      </c>
      <c r="X47" s="507">
        <f t="shared" si="26"/>
        <v>0</v>
      </c>
      <c r="Y47" s="507">
        <f t="shared" si="26"/>
        <v>0</v>
      </c>
      <c r="Z47" s="507">
        <f t="shared" si="26"/>
        <v>0</v>
      </c>
      <c r="AA47" s="507">
        <f t="shared" si="26"/>
        <v>0</v>
      </c>
      <c r="AB47" s="507">
        <f t="shared" si="26"/>
        <v>0</v>
      </c>
      <c r="AC47" s="507">
        <f t="shared" si="26"/>
        <v>0</v>
      </c>
      <c r="AD47" s="507">
        <f t="shared" si="26"/>
        <v>0</v>
      </c>
      <c r="AE47" s="507">
        <f t="shared" si="26"/>
        <v>0</v>
      </c>
      <c r="AF47" s="507">
        <f t="shared" si="26"/>
        <v>0</v>
      </c>
      <c r="AG47" s="507">
        <f t="shared" si="26"/>
        <v>0</v>
      </c>
      <c r="AH47" s="507">
        <f t="shared" si="26"/>
        <v>0</v>
      </c>
      <c r="AI47" s="548">
        <f>SUM(D47:N47)</f>
        <v>1172767333.5254302</v>
      </c>
      <c r="AJ47" s="548">
        <f>SUM(D47:X47)</f>
        <v>1172767333.5254302</v>
      </c>
      <c r="AK47" s="510">
        <f>SUM(D47:AH47)</f>
        <v>1172767333.5254302</v>
      </c>
    </row>
    <row r="48" spans="1:37" ht="11.5" x14ac:dyDescent="0.25">
      <c r="A48" s="502" t="str">
        <f>地域経済性分析・初期条件!G9</f>
        <v>はん用機械器具製造業</v>
      </c>
      <c r="C48" s="465"/>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48"/>
      <c r="AJ48" s="548"/>
      <c r="AK48" s="510"/>
    </row>
    <row r="49" spans="1:37" ht="11.5" x14ac:dyDescent="0.25">
      <c r="A49" s="546" t="str">
        <f>A48&amp;B49</f>
        <v>はん用機械器具製造業売上（税別）</v>
      </c>
      <c r="B49" s="452" t="s">
        <v>1047</v>
      </c>
      <c r="C49" s="464" t="s">
        <v>37</v>
      </c>
      <c r="D49" s="507">
        <f>D47*地域経済性分析・初期条件!$F$9</f>
        <v>293191833.38135755</v>
      </c>
      <c r="E49" s="507">
        <f>E47*地域経済性分析・初期条件!$F$9</f>
        <v>0</v>
      </c>
      <c r="F49" s="507">
        <f>F47*地域経済性分析・初期条件!$F$9</f>
        <v>0</v>
      </c>
      <c r="G49" s="507">
        <f>G47*地域経済性分析・初期条件!$F$9</f>
        <v>0</v>
      </c>
      <c r="H49" s="507">
        <f>H47*地域経済性分析・初期条件!$F$9</f>
        <v>0</v>
      </c>
      <c r="I49" s="507">
        <f>I47*地域経済性分析・初期条件!$F$9</f>
        <v>0</v>
      </c>
      <c r="J49" s="507">
        <f>J47*地域経済性分析・初期条件!$F$9</f>
        <v>0</v>
      </c>
      <c r="K49" s="507">
        <f>K47*地域経済性分析・初期条件!$F$9</f>
        <v>0</v>
      </c>
      <c r="L49" s="507">
        <f>L47*地域経済性分析・初期条件!$F$9</f>
        <v>0</v>
      </c>
      <c r="M49" s="507">
        <f>M47*地域経済性分析・初期条件!$F$9</f>
        <v>0</v>
      </c>
      <c r="N49" s="507">
        <f>N47*地域経済性分析・初期条件!$F$9</f>
        <v>0</v>
      </c>
      <c r="O49" s="507">
        <f>O47*地域経済性分析・初期条件!$F$9</f>
        <v>0</v>
      </c>
      <c r="P49" s="507">
        <f>P47*地域経済性分析・初期条件!$F$9</f>
        <v>0</v>
      </c>
      <c r="Q49" s="507">
        <f>Q47*地域経済性分析・初期条件!$F$9</f>
        <v>0</v>
      </c>
      <c r="R49" s="507">
        <f>R47*地域経済性分析・初期条件!$F$9</f>
        <v>0</v>
      </c>
      <c r="S49" s="507">
        <f>S47*地域経済性分析・初期条件!$F$9</f>
        <v>0</v>
      </c>
      <c r="T49" s="507">
        <f>T47*地域経済性分析・初期条件!$F$9</f>
        <v>0</v>
      </c>
      <c r="U49" s="507">
        <f>U47*地域経済性分析・初期条件!$F$9</f>
        <v>0</v>
      </c>
      <c r="V49" s="507">
        <f>V47*地域経済性分析・初期条件!$F$9</f>
        <v>0</v>
      </c>
      <c r="W49" s="507">
        <f>W47*地域経済性分析・初期条件!$F$9</f>
        <v>0</v>
      </c>
      <c r="X49" s="507">
        <f>X47*地域経済性分析・初期条件!$F$9</f>
        <v>0</v>
      </c>
      <c r="Y49" s="507">
        <f>Y47*地域経済性分析・初期条件!$F$9</f>
        <v>0</v>
      </c>
      <c r="Z49" s="507">
        <f>Z47*地域経済性分析・初期条件!$F$9</f>
        <v>0</v>
      </c>
      <c r="AA49" s="507">
        <f>AA47*地域経済性分析・初期条件!$F$9</f>
        <v>0</v>
      </c>
      <c r="AB49" s="507">
        <f>AB47*地域経済性分析・初期条件!$F$9</f>
        <v>0</v>
      </c>
      <c r="AC49" s="507">
        <f>AC47*地域経済性分析・初期条件!$F$9</f>
        <v>0</v>
      </c>
      <c r="AD49" s="507">
        <f>AD47*地域経済性分析・初期条件!$F$9</f>
        <v>0</v>
      </c>
      <c r="AE49" s="507">
        <f>AE47*地域経済性分析・初期条件!$F$9</f>
        <v>0</v>
      </c>
      <c r="AF49" s="507">
        <f>AF47*地域経済性分析・初期条件!$F$9</f>
        <v>0</v>
      </c>
      <c r="AG49" s="507">
        <f>AG47*地域経済性分析・初期条件!$F$9</f>
        <v>0</v>
      </c>
      <c r="AH49" s="507">
        <f>AH47*地域経済性分析・初期条件!$F$9</f>
        <v>0</v>
      </c>
      <c r="AI49" s="548">
        <f t="shared" ref="AI49:AI57" si="27">SUM(D49:N49)</f>
        <v>293191833.38135755</v>
      </c>
      <c r="AJ49" s="548">
        <f t="shared" ref="AJ49:AJ57" si="28">SUM(D49:X49)</f>
        <v>293191833.38135755</v>
      </c>
      <c r="AK49" s="510">
        <f t="shared" ref="AK49:AK57" si="29">SUM(D49:AH49)</f>
        <v>293191833.38135755</v>
      </c>
    </row>
    <row r="50" spans="1:37" ht="11.5" x14ac:dyDescent="0.25">
      <c r="A50" s="546"/>
      <c r="B50" s="452" t="s">
        <v>263</v>
      </c>
      <c r="C50" s="464" t="s">
        <v>37</v>
      </c>
      <c r="D50" s="507">
        <f>D49*波及効果シート!$D$72</f>
        <v>3225110.1671949327</v>
      </c>
      <c r="E50" s="507">
        <f>E49*波及効果シート!$D$72</f>
        <v>0</v>
      </c>
      <c r="F50" s="507">
        <f>F49*波及効果シート!$D$72</f>
        <v>0</v>
      </c>
      <c r="G50" s="507">
        <f>G49*波及効果シート!$D$72</f>
        <v>0</v>
      </c>
      <c r="H50" s="507">
        <f>H49*波及効果シート!$D$72</f>
        <v>0</v>
      </c>
      <c r="I50" s="507">
        <f>I49*波及効果シート!$D$72</f>
        <v>0</v>
      </c>
      <c r="J50" s="507">
        <f>J49*波及効果シート!$D$72</f>
        <v>0</v>
      </c>
      <c r="K50" s="507">
        <f>K49*波及効果シート!$D$72</f>
        <v>0</v>
      </c>
      <c r="L50" s="507">
        <f>L49*波及効果シート!$D$72</f>
        <v>0</v>
      </c>
      <c r="M50" s="507">
        <f>M49*波及効果シート!$D$72</f>
        <v>0</v>
      </c>
      <c r="N50" s="507">
        <f>N49*波及効果シート!$D$72</f>
        <v>0</v>
      </c>
      <c r="O50" s="507">
        <f>O49*波及効果シート!$D$72</f>
        <v>0</v>
      </c>
      <c r="P50" s="507">
        <f>P49*波及効果シート!$D$72</f>
        <v>0</v>
      </c>
      <c r="Q50" s="507">
        <f>Q49*波及効果シート!$D$72</f>
        <v>0</v>
      </c>
      <c r="R50" s="507">
        <f>R49*波及効果シート!$D$72</f>
        <v>0</v>
      </c>
      <c r="S50" s="507">
        <f>S49*波及効果シート!$D$72</f>
        <v>0</v>
      </c>
      <c r="T50" s="507">
        <f>T49*波及効果シート!$D$72</f>
        <v>0</v>
      </c>
      <c r="U50" s="507">
        <f>U49*波及効果シート!$D$72</f>
        <v>0</v>
      </c>
      <c r="V50" s="507">
        <f>V49*波及効果シート!$D$72</f>
        <v>0</v>
      </c>
      <c r="W50" s="507">
        <f>W49*波及効果シート!$D$72</f>
        <v>0</v>
      </c>
      <c r="X50" s="507">
        <f>X49*波及効果シート!$D$72</f>
        <v>0</v>
      </c>
      <c r="Y50" s="507">
        <f>Y49*波及効果シート!$D$72</f>
        <v>0</v>
      </c>
      <c r="Z50" s="507">
        <f>Z49*波及効果シート!$D$72</f>
        <v>0</v>
      </c>
      <c r="AA50" s="507">
        <f>AA49*波及効果シート!$D$72</f>
        <v>0</v>
      </c>
      <c r="AB50" s="507">
        <f>AB49*波及効果シート!$D$72</f>
        <v>0</v>
      </c>
      <c r="AC50" s="507">
        <f>AC49*波及効果シート!$D$72</f>
        <v>0</v>
      </c>
      <c r="AD50" s="507">
        <f>AD49*波及効果シート!$D$72</f>
        <v>0</v>
      </c>
      <c r="AE50" s="507">
        <f>AE49*波及効果シート!$D$72</f>
        <v>0</v>
      </c>
      <c r="AF50" s="507">
        <f>AF49*波及効果シート!$D$72</f>
        <v>0</v>
      </c>
      <c r="AG50" s="507">
        <f>AG49*波及効果シート!$D$72</f>
        <v>0</v>
      </c>
      <c r="AH50" s="507">
        <f>AH49*波及効果シート!$D$72</f>
        <v>0</v>
      </c>
      <c r="AI50" s="548">
        <f t="shared" si="27"/>
        <v>3225110.1671949327</v>
      </c>
      <c r="AJ50" s="548">
        <f t="shared" si="28"/>
        <v>3225110.1671949327</v>
      </c>
      <c r="AK50" s="510">
        <f t="shared" si="29"/>
        <v>3225110.1671949327</v>
      </c>
    </row>
    <row r="51" spans="1:37" ht="11.5" x14ac:dyDescent="0.25">
      <c r="A51" s="546"/>
      <c r="B51" s="452" t="s">
        <v>1048</v>
      </c>
      <c r="C51" s="465" t="s">
        <v>37</v>
      </c>
      <c r="D51" s="507">
        <f>D49*波及効果シート!$D$74</f>
        <v>3225110.1671949327</v>
      </c>
      <c r="E51" s="507">
        <f>E49*波及効果シート!$D$74</f>
        <v>0</v>
      </c>
      <c r="F51" s="507">
        <f>F49*波及効果シート!$D$74</f>
        <v>0</v>
      </c>
      <c r="G51" s="507">
        <f>G49*波及効果シート!$D$74</f>
        <v>0</v>
      </c>
      <c r="H51" s="507">
        <f>H49*波及効果シート!$D$74</f>
        <v>0</v>
      </c>
      <c r="I51" s="507">
        <f>I49*波及効果シート!$D$74</f>
        <v>0</v>
      </c>
      <c r="J51" s="507">
        <f>J49*波及効果シート!$D$74</f>
        <v>0</v>
      </c>
      <c r="K51" s="507">
        <f>K49*波及効果シート!$D$74</f>
        <v>0</v>
      </c>
      <c r="L51" s="507">
        <f>L49*波及効果シート!$D$74</f>
        <v>0</v>
      </c>
      <c r="M51" s="507">
        <f>M49*波及効果シート!$D$74</f>
        <v>0</v>
      </c>
      <c r="N51" s="507">
        <f>N49*波及効果シート!$D$74</f>
        <v>0</v>
      </c>
      <c r="O51" s="507">
        <f>O49*波及効果シート!$D$74</f>
        <v>0</v>
      </c>
      <c r="P51" s="507">
        <f>P49*波及効果シート!$D$74</f>
        <v>0</v>
      </c>
      <c r="Q51" s="507">
        <f>Q49*波及効果シート!$D$74</f>
        <v>0</v>
      </c>
      <c r="R51" s="507">
        <f>R49*波及効果シート!$D$74</f>
        <v>0</v>
      </c>
      <c r="S51" s="507">
        <f>S49*波及効果シート!$D$74</f>
        <v>0</v>
      </c>
      <c r="T51" s="507">
        <f>T49*波及効果シート!$D$74</f>
        <v>0</v>
      </c>
      <c r="U51" s="507">
        <f>U49*波及効果シート!$D$74</f>
        <v>0</v>
      </c>
      <c r="V51" s="507">
        <f>V49*波及効果シート!$D$74</f>
        <v>0</v>
      </c>
      <c r="W51" s="507">
        <f>W49*波及効果シート!$D$74</f>
        <v>0</v>
      </c>
      <c r="X51" s="507">
        <f>X49*波及効果シート!$D$74</f>
        <v>0</v>
      </c>
      <c r="Y51" s="507">
        <f>Y49*波及効果シート!$D$74</f>
        <v>0</v>
      </c>
      <c r="Z51" s="507">
        <f>Z49*波及効果シート!$D$74</f>
        <v>0</v>
      </c>
      <c r="AA51" s="507">
        <f>AA49*波及効果シート!$D$74</f>
        <v>0</v>
      </c>
      <c r="AB51" s="507">
        <f>AB49*波及効果シート!$D$74</f>
        <v>0</v>
      </c>
      <c r="AC51" s="507">
        <f>AC49*波及効果シート!$D$74</f>
        <v>0</v>
      </c>
      <c r="AD51" s="507">
        <f>AD49*波及効果シート!$D$74</f>
        <v>0</v>
      </c>
      <c r="AE51" s="507">
        <f>AE49*波及効果シート!$D$74</f>
        <v>0</v>
      </c>
      <c r="AF51" s="507">
        <f>AF49*波及効果シート!$D$74</f>
        <v>0</v>
      </c>
      <c r="AG51" s="507">
        <f>AG49*波及効果シート!$D$74</f>
        <v>0</v>
      </c>
      <c r="AH51" s="507">
        <f>AH49*波及効果シート!$D$74</f>
        <v>0</v>
      </c>
      <c r="AI51" s="548">
        <f t="shared" si="27"/>
        <v>3225110.1671949327</v>
      </c>
      <c r="AJ51" s="548">
        <f t="shared" si="28"/>
        <v>3225110.1671949327</v>
      </c>
      <c r="AK51" s="510">
        <f t="shared" si="29"/>
        <v>3225110.1671949327</v>
      </c>
    </row>
    <row r="52" spans="1:37" ht="11.5" x14ac:dyDescent="0.25">
      <c r="A52" s="546"/>
      <c r="B52" s="452" t="s">
        <v>356</v>
      </c>
      <c r="C52" s="465" t="s">
        <v>37</v>
      </c>
      <c r="D52" s="507">
        <f>D49*地域経済性分析・初期条件!$P$9</f>
        <v>0</v>
      </c>
      <c r="E52" s="507">
        <f>E49*地域経済性分析・初期条件!$P$9</f>
        <v>0</v>
      </c>
      <c r="F52" s="507">
        <f>F49*地域経済性分析・初期条件!$P$9</f>
        <v>0</v>
      </c>
      <c r="G52" s="507">
        <f>G49*地域経済性分析・初期条件!$P$9</f>
        <v>0</v>
      </c>
      <c r="H52" s="507">
        <f>H49*地域経済性分析・初期条件!$P$9</f>
        <v>0</v>
      </c>
      <c r="I52" s="507">
        <f>I49*地域経済性分析・初期条件!$P$9</f>
        <v>0</v>
      </c>
      <c r="J52" s="507">
        <f>J49*地域経済性分析・初期条件!$P$9</f>
        <v>0</v>
      </c>
      <c r="K52" s="507">
        <f>K49*地域経済性分析・初期条件!$P$9</f>
        <v>0</v>
      </c>
      <c r="L52" s="507">
        <f>L49*地域経済性分析・初期条件!$P$9</f>
        <v>0</v>
      </c>
      <c r="M52" s="507">
        <f>M49*地域経済性分析・初期条件!$P$9</f>
        <v>0</v>
      </c>
      <c r="N52" s="507">
        <f>N49*地域経済性分析・初期条件!$P$9</f>
        <v>0</v>
      </c>
      <c r="O52" s="507">
        <f>O49*地域経済性分析・初期条件!$P$9</f>
        <v>0</v>
      </c>
      <c r="P52" s="507">
        <f>P49*地域経済性分析・初期条件!$P$9</f>
        <v>0</v>
      </c>
      <c r="Q52" s="507">
        <f>Q49*地域経済性分析・初期条件!$P$9</f>
        <v>0</v>
      </c>
      <c r="R52" s="507">
        <f>R49*地域経済性分析・初期条件!$P$9</f>
        <v>0</v>
      </c>
      <c r="S52" s="507">
        <f>S49*地域経済性分析・初期条件!$P$9</f>
        <v>0</v>
      </c>
      <c r="T52" s="507">
        <f>T49*地域経済性分析・初期条件!$P$9</f>
        <v>0</v>
      </c>
      <c r="U52" s="507">
        <f>U49*地域経済性分析・初期条件!$P$9</f>
        <v>0</v>
      </c>
      <c r="V52" s="507">
        <f>V49*地域経済性分析・初期条件!$P$9</f>
        <v>0</v>
      </c>
      <c r="W52" s="507">
        <f>W49*地域経済性分析・初期条件!$P$9</f>
        <v>0</v>
      </c>
      <c r="X52" s="507">
        <f>X49*地域経済性分析・初期条件!$P$9</f>
        <v>0</v>
      </c>
      <c r="Y52" s="507">
        <f>Y49*地域経済性分析・初期条件!$P$9</f>
        <v>0</v>
      </c>
      <c r="Z52" s="507">
        <f>Z49*地域経済性分析・初期条件!$P$9</f>
        <v>0</v>
      </c>
      <c r="AA52" s="507">
        <f>AA49*地域経済性分析・初期条件!$P$9</f>
        <v>0</v>
      </c>
      <c r="AB52" s="507">
        <f>AB49*地域経済性分析・初期条件!$P$9</f>
        <v>0</v>
      </c>
      <c r="AC52" s="507">
        <f>AC49*地域経済性分析・初期条件!$P$9</f>
        <v>0</v>
      </c>
      <c r="AD52" s="507">
        <f>AD49*地域経済性分析・初期条件!$P$9</f>
        <v>0</v>
      </c>
      <c r="AE52" s="507">
        <f>AE49*地域経済性分析・初期条件!$P$9</f>
        <v>0</v>
      </c>
      <c r="AF52" s="507">
        <f>AF49*地域経済性分析・初期条件!$P$9</f>
        <v>0</v>
      </c>
      <c r="AG52" s="507">
        <f>AG49*地域経済性分析・初期条件!$P$9</f>
        <v>0</v>
      </c>
      <c r="AH52" s="507">
        <f>AH49*地域経済性分析・初期条件!$P$9</f>
        <v>0</v>
      </c>
      <c r="AI52" s="548">
        <f t="shared" si="27"/>
        <v>0</v>
      </c>
      <c r="AJ52" s="548">
        <f t="shared" si="28"/>
        <v>0</v>
      </c>
      <c r="AK52" s="510">
        <f t="shared" si="29"/>
        <v>0</v>
      </c>
    </row>
    <row r="53" spans="1:37" ht="11.5" x14ac:dyDescent="0.25">
      <c r="A53" s="546"/>
      <c r="B53" s="452" t="s">
        <v>355</v>
      </c>
      <c r="C53" s="465" t="s">
        <v>37</v>
      </c>
      <c r="D53" s="507">
        <f>D49*地域経済性分析・初期条件!$Q$9</f>
        <v>0</v>
      </c>
      <c r="E53" s="507">
        <f>E49*地域経済性分析・初期条件!$Q$9</f>
        <v>0</v>
      </c>
      <c r="F53" s="507">
        <f>F49*地域経済性分析・初期条件!$Q$9</f>
        <v>0</v>
      </c>
      <c r="G53" s="507">
        <f>G49*地域経済性分析・初期条件!$Q$9</f>
        <v>0</v>
      </c>
      <c r="H53" s="507">
        <f>H49*地域経済性分析・初期条件!$Q$9</f>
        <v>0</v>
      </c>
      <c r="I53" s="507">
        <f>I49*地域経済性分析・初期条件!$Q$9</f>
        <v>0</v>
      </c>
      <c r="J53" s="507">
        <f>J49*地域経済性分析・初期条件!$Q$9</f>
        <v>0</v>
      </c>
      <c r="K53" s="507">
        <f>K49*地域経済性分析・初期条件!$Q$9</f>
        <v>0</v>
      </c>
      <c r="L53" s="507">
        <f>L49*地域経済性分析・初期条件!$Q$9</f>
        <v>0</v>
      </c>
      <c r="M53" s="507">
        <f>M49*地域経済性分析・初期条件!$Q$9</f>
        <v>0</v>
      </c>
      <c r="N53" s="507">
        <f>N49*地域経済性分析・初期条件!$Q$9</f>
        <v>0</v>
      </c>
      <c r="O53" s="507">
        <f>O49*地域経済性分析・初期条件!$Q$9</f>
        <v>0</v>
      </c>
      <c r="P53" s="507">
        <f>P49*地域経済性分析・初期条件!$Q$9</f>
        <v>0</v>
      </c>
      <c r="Q53" s="507">
        <f>Q49*地域経済性分析・初期条件!$Q$9</f>
        <v>0</v>
      </c>
      <c r="R53" s="507">
        <f>R49*地域経済性分析・初期条件!$Q$9</f>
        <v>0</v>
      </c>
      <c r="S53" s="507">
        <f>S49*地域経済性分析・初期条件!$Q$9</f>
        <v>0</v>
      </c>
      <c r="T53" s="507">
        <f>T49*地域経済性分析・初期条件!$Q$9</f>
        <v>0</v>
      </c>
      <c r="U53" s="507">
        <f>U49*地域経済性分析・初期条件!$Q$9</f>
        <v>0</v>
      </c>
      <c r="V53" s="507">
        <f>V49*地域経済性分析・初期条件!$Q$9</f>
        <v>0</v>
      </c>
      <c r="W53" s="507">
        <f>W49*地域経済性分析・初期条件!$Q$9</f>
        <v>0</v>
      </c>
      <c r="X53" s="507">
        <f>X49*地域経済性分析・初期条件!$Q$9</f>
        <v>0</v>
      </c>
      <c r="Y53" s="507">
        <f>Y49*地域経済性分析・初期条件!$Q$9</f>
        <v>0</v>
      </c>
      <c r="Z53" s="507">
        <f>Z49*地域経済性分析・初期条件!$Q$9</f>
        <v>0</v>
      </c>
      <c r="AA53" s="507">
        <f>AA49*地域経済性分析・初期条件!$Q$9</f>
        <v>0</v>
      </c>
      <c r="AB53" s="507">
        <f>AB49*地域経済性分析・初期条件!$Q$9</f>
        <v>0</v>
      </c>
      <c r="AC53" s="507">
        <f>AC49*地域経済性分析・初期条件!$Q$9</f>
        <v>0</v>
      </c>
      <c r="AD53" s="507">
        <f>AD49*地域経済性分析・初期条件!$Q$9</f>
        <v>0</v>
      </c>
      <c r="AE53" s="507">
        <f>AE49*地域経済性分析・初期条件!$Q$9</f>
        <v>0</v>
      </c>
      <c r="AF53" s="507">
        <f>AF49*地域経済性分析・初期条件!$Q$9</f>
        <v>0</v>
      </c>
      <c r="AG53" s="507">
        <f>AG49*地域経済性分析・初期条件!$Q$9</f>
        <v>0</v>
      </c>
      <c r="AH53" s="507">
        <f>AH49*地域経済性分析・初期条件!$Q$9</f>
        <v>0</v>
      </c>
      <c r="AI53" s="548">
        <f t="shared" si="27"/>
        <v>0</v>
      </c>
      <c r="AJ53" s="548">
        <f t="shared" si="28"/>
        <v>0</v>
      </c>
      <c r="AK53" s="510">
        <f t="shared" si="29"/>
        <v>0</v>
      </c>
    </row>
    <row r="54" spans="1:37" ht="11.5" x14ac:dyDescent="0.25">
      <c r="A54" s="546" t="str">
        <f>A48&amp;B54</f>
        <v>はん用機械器具製造業従業員の可処分所得（一次）</v>
      </c>
      <c r="B54" s="452" t="s">
        <v>339</v>
      </c>
      <c r="C54" s="464" t="s">
        <v>37</v>
      </c>
      <c r="D54" s="507">
        <f>D49*地域経済性分析・初期条件!$H$9</f>
        <v>35285831.941393472</v>
      </c>
      <c r="E54" s="507">
        <f>E49*地域経済性分析・初期条件!$H$9</f>
        <v>0</v>
      </c>
      <c r="F54" s="507">
        <f>F49*地域経済性分析・初期条件!$H$9</f>
        <v>0</v>
      </c>
      <c r="G54" s="507">
        <f>G49*地域経済性分析・初期条件!$H$9</f>
        <v>0</v>
      </c>
      <c r="H54" s="507">
        <f>H49*地域経済性分析・初期条件!$H$9</f>
        <v>0</v>
      </c>
      <c r="I54" s="507">
        <f>I49*地域経済性分析・初期条件!$H$9</f>
        <v>0</v>
      </c>
      <c r="J54" s="507">
        <f>J49*地域経済性分析・初期条件!$H$9</f>
        <v>0</v>
      </c>
      <c r="K54" s="507">
        <f>K49*地域経済性分析・初期条件!$H$9</f>
        <v>0</v>
      </c>
      <c r="L54" s="507">
        <f>L49*地域経済性分析・初期条件!$H$9</f>
        <v>0</v>
      </c>
      <c r="M54" s="507">
        <f>M49*地域経済性分析・初期条件!$H$9</f>
        <v>0</v>
      </c>
      <c r="N54" s="507">
        <f>N49*地域経済性分析・初期条件!$H$9</f>
        <v>0</v>
      </c>
      <c r="O54" s="507">
        <f>O49*地域経済性分析・初期条件!$H$9</f>
        <v>0</v>
      </c>
      <c r="P54" s="507">
        <f>P49*地域経済性分析・初期条件!$H$9</f>
        <v>0</v>
      </c>
      <c r="Q54" s="507">
        <f>Q49*地域経済性分析・初期条件!$H$9</f>
        <v>0</v>
      </c>
      <c r="R54" s="507">
        <f>R49*地域経済性分析・初期条件!$H$9</f>
        <v>0</v>
      </c>
      <c r="S54" s="507">
        <f>S49*地域経済性分析・初期条件!$H$9</f>
        <v>0</v>
      </c>
      <c r="T54" s="507">
        <f>T49*地域経済性分析・初期条件!$H$9</f>
        <v>0</v>
      </c>
      <c r="U54" s="507">
        <f>U49*地域経済性分析・初期条件!$H$9</f>
        <v>0</v>
      </c>
      <c r="V54" s="507">
        <f>V49*地域経済性分析・初期条件!$H$9</f>
        <v>0</v>
      </c>
      <c r="W54" s="507">
        <f>W49*地域経済性分析・初期条件!$H$9</f>
        <v>0</v>
      </c>
      <c r="X54" s="507">
        <f>X49*地域経済性分析・初期条件!$H$9</f>
        <v>0</v>
      </c>
      <c r="Y54" s="507">
        <f>Y49*地域経済性分析・初期条件!$H$9</f>
        <v>0</v>
      </c>
      <c r="Z54" s="507">
        <f>Z49*地域経済性分析・初期条件!$H$9</f>
        <v>0</v>
      </c>
      <c r="AA54" s="507">
        <f>AA49*地域経済性分析・初期条件!$H$9</f>
        <v>0</v>
      </c>
      <c r="AB54" s="507">
        <f>AB49*地域経済性分析・初期条件!$H$9</f>
        <v>0</v>
      </c>
      <c r="AC54" s="507">
        <f>AC49*地域経済性分析・初期条件!$H$9</f>
        <v>0</v>
      </c>
      <c r="AD54" s="507">
        <f>AD49*地域経済性分析・初期条件!$H$9</f>
        <v>0</v>
      </c>
      <c r="AE54" s="507">
        <f>AE49*地域経済性分析・初期条件!$H$9</f>
        <v>0</v>
      </c>
      <c r="AF54" s="507">
        <f>AF49*地域経済性分析・初期条件!$H$9</f>
        <v>0</v>
      </c>
      <c r="AG54" s="507">
        <f>AG49*地域経済性分析・初期条件!$H$9</f>
        <v>0</v>
      </c>
      <c r="AH54" s="507">
        <f>AH49*地域経済性分析・初期条件!$H$9</f>
        <v>0</v>
      </c>
      <c r="AI54" s="548">
        <f t="shared" si="27"/>
        <v>35285831.941393472</v>
      </c>
      <c r="AJ54" s="548">
        <f t="shared" si="28"/>
        <v>35285831.941393472</v>
      </c>
      <c r="AK54" s="510">
        <f t="shared" si="29"/>
        <v>35285831.941393472</v>
      </c>
    </row>
    <row r="55" spans="1:37" ht="11.5" x14ac:dyDescent="0.25">
      <c r="A55" s="546" t="str">
        <f>A48&amp;B55</f>
        <v>はん用機械器具製造業企業の税引後利益（一次）</v>
      </c>
      <c r="B55" s="452" t="s">
        <v>340</v>
      </c>
      <c r="C55" s="464" t="s">
        <v>37</v>
      </c>
      <c r="D55" s="507">
        <f>D49*地域経済性分析・初期条件!$I$9</f>
        <v>15159028.049812363</v>
      </c>
      <c r="E55" s="507">
        <f>E49*地域経済性分析・初期条件!$I$9</f>
        <v>0</v>
      </c>
      <c r="F55" s="507">
        <f>F49*地域経済性分析・初期条件!$I$9</f>
        <v>0</v>
      </c>
      <c r="G55" s="507">
        <f>G49*地域経済性分析・初期条件!$I$9</f>
        <v>0</v>
      </c>
      <c r="H55" s="507">
        <f>H49*地域経済性分析・初期条件!$I$9</f>
        <v>0</v>
      </c>
      <c r="I55" s="507">
        <f>I49*地域経済性分析・初期条件!$I$9</f>
        <v>0</v>
      </c>
      <c r="J55" s="507">
        <f>J49*地域経済性分析・初期条件!$I$9</f>
        <v>0</v>
      </c>
      <c r="K55" s="507">
        <f>K49*地域経済性分析・初期条件!$I$9</f>
        <v>0</v>
      </c>
      <c r="L55" s="507">
        <f>L49*地域経済性分析・初期条件!$I$9</f>
        <v>0</v>
      </c>
      <c r="M55" s="507">
        <f>M49*地域経済性分析・初期条件!$I$9</f>
        <v>0</v>
      </c>
      <c r="N55" s="507">
        <f>N49*地域経済性分析・初期条件!$I$9</f>
        <v>0</v>
      </c>
      <c r="O55" s="507">
        <f>O49*地域経済性分析・初期条件!$I$9</f>
        <v>0</v>
      </c>
      <c r="P55" s="507">
        <f>P49*地域経済性分析・初期条件!$I$9</f>
        <v>0</v>
      </c>
      <c r="Q55" s="507">
        <f>Q49*地域経済性分析・初期条件!$I$9</f>
        <v>0</v>
      </c>
      <c r="R55" s="507">
        <f>R49*地域経済性分析・初期条件!$I$9</f>
        <v>0</v>
      </c>
      <c r="S55" s="507">
        <f>S49*地域経済性分析・初期条件!$I$9</f>
        <v>0</v>
      </c>
      <c r="T55" s="507">
        <f>T49*地域経済性分析・初期条件!$I$9</f>
        <v>0</v>
      </c>
      <c r="U55" s="507">
        <f>U49*地域経済性分析・初期条件!$I$9</f>
        <v>0</v>
      </c>
      <c r="V55" s="507">
        <f>V49*地域経済性分析・初期条件!$I$9</f>
        <v>0</v>
      </c>
      <c r="W55" s="507">
        <f>W49*地域経済性分析・初期条件!$I$9</f>
        <v>0</v>
      </c>
      <c r="X55" s="507">
        <f>X49*地域経済性分析・初期条件!$I$9</f>
        <v>0</v>
      </c>
      <c r="Y55" s="507">
        <f>Y49*地域経済性分析・初期条件!$I$9</f>
        <v>0</v>
      </c>
      <c r="Z55" s="507">
        <f>Z49*地域経済性分析・初期条件!$I$9</f>
        <v>0</v>
      </c>
      <c r="AA55" s="507">
        <f>AA49*地域経済性分析・初期条件!$I$9</f>
        <v>0</v>
      </c>
      <c r="AB55" s="507">
        <f>AB49*地域経済性分析・初期条件!$I$9</f>
        <v>0</v>
      </c>
      <c r="AC55" s="507">
        <f>AC49*地域経済性分析・初期条件!$I$9</f>
        <v>0</v>
      </c>
      <c r="AD55" s="507">
        <f>AD49*地域経済性分析・初期条件!$I$9</f>
        <v>0</v>
      </c>
      <c r="AE55" s="507">
        <f>AE49*地域経済性分析・初期条件!$I$9</f>
        <v>0</v>
      </c>
      <c r="AF55" s="507">
        <f>AF49*地域経済性分析・初期条件!$I$9</f>
        <v>0</v>
      </c>
      <c r="AG55" s="507">
        <f>AG49*地域経済性分析・初期条件!$I$9</f>
        <v>0</v>
      </c>
      <c r="AH55" s="507">
        <f>AH49*地域経済性分析・初期条件!$I$9</f>
        <v>0</v>
      </c>
      <c r="AI55" s="548">
        <f t="shared" si="27"/>
        <v>15159028.049812363</v>
      </c>
      <c r="AJ55" s="548">
        <f t="shared" si="28"/>
        <v>15159028.049812363</v>
      </c>
      <c r="AK55" s="510">
        <f t="shared" si="29"/>
        <v>15159028.049812363</v>
      </c>
    </row>
    <row r="56" spans="1:37" ht="11.5" x14ac:dyDescent="0.25">
      <c r="A56" s="546" t="str">
        <f>A48&amp;B56</f>
        <v>はん用機械器具製造業都道府県税収（一次）</v>
      </c>
      <c r="B56" s="452" t="s">
        <v>341</v>
      </c>
      <c r="C56" s="464" t="s">
        <v>37</v>
      </c>
      <c r="D56" s="507">
        <f>D49*地域経済性分析・初期条件!$J$9</f>
        <v>5102245.1083955597</v>
      </c>
      <c r="E56" s="507">
        <f>E49*地域経済性分析・初期条件!$J$9</f>
        <v>0</v>
      </c>
      <c r="F56" s="507">
        <f>F49*地域経済性分析・初期条件!$J$9</f>
        <v>0</v>
      </c>
      <c r="G56" s="507">
        <f>G49*地域経済性分析・初期条件!$J$9</f>
        <v>0</v>
      </c>
      <c r="H56" s="507">
        <f>H49*地域経済性分析・初期条件!$J$9</f>
        <v>0</v>
      </c>
      <c r="I56" s="507">
        <f>I49*地域経済性分析・初期条件!$J$9</f>
        <v>0</v>
      </c>
      <c r="J56" s="507">
        <f>J49*地域経済性分析・初期条件!$J$9</f>
        <v>0</v>
      </c>
      <c r="K56" s="507">
        <f>K49*地域経済性分析・初期条件!$J$9</f>
        <v>0</v>
      </c>
      <c r="L56" s="507">
        <f>L49*地域経済性分析・初期条件!$J$9</f>
        <v>0</v>
      </c>
      <c r="M56" s="507">
        <f>M49*地域経済性分析・初期条件!$J$9</f>
        <v>0</v>
      </c>
      <c r="N56" s="507">
        <f>N49*地域経済性分析・初期条件!$J$9</f>
        <v>0</v>
      </c>
      <c r="O56" s="507">
        <f>O49*地域経済性分析・初期条件!$J$9</f>
        <v>0</v>
      </c>
      <c r="P56" s="507">
        <f>P49*地域経済性分析・初期条件!$J$9</f>
        <v>0</v>
      </c>
      <c r="Q56" s="507">
        <f>Q49*地域経済性分析・初期条件!$J$9</f>
        <v>0</v>
      </c>
      <c r="R56" s="507">
        <f>R49*地域経済性分析・初期条件!$J$9</f>
        <v>0</v>
      </c>
      <c r="S56" s="507">
        <f>S49*地域経済性分析・初期条件!$J$9</f>
        <v>0</v>
      </c>
      <c r="T56" s="507">
        <f>T49*地域経済性分析・初期条件!$J$9</f>
        <v>0</v>
      </c>
      <c r="U56" s="507">
        <f>U49*地域経済性分析・初期条件!$J$9</f>
        <v>0</v>
      </c>
      <c r="V56" s="507">
        <f>V49*地域経済性分析・初期条件!$J$9</f>
        <v>0</v>
      </c>
      <c r="W56" s="507">
        <f>W49*地域経済性分析・初期条件!$J$9</f>
        <v>0</v>
      </c>
      <c r="X56" s="507">
        <f>X49*地域経済性分析・初期条件!$J$9</f>
        <v>0</v>
      </c>
      <c r="Y56" s="507">
        <f>Y49*地域経済性分析・初期条件!$J$9</f>
        <v>0</v>
      </c>
      <c r="Z56" s="507">
        <f>Z49*地域経済性分析・初期条件!$J$9</f>
        <v>0</v>
      </c>
      <c r="AA56" s="507">
        <f>AA49*地域経済性分析・初期条件!$J$9</f>
        <v>0</v>
      </c>
      <c r="AB56" s="507">
        <f>AB49*地域経済性分析・初期条件!$J$9</f>
        <v>0</v>
      </c>
      <c r="AC56" s="507">
        <f>AC49*地域経済性分析・初期条件!$J$9</f>
        <v>0</v>
      </c>
      <c r="AD56" s="507">
        <f>AD49*地域経済性分析・初期条件!$J$9</f>
        <v>0</v>
      </c>
      <c r="AE56" s="507">
        <f>AE49*地域経済性分析・初期条件!$J$9</f>
        <v>0</v>
      </c>
      <c r="AF56" s="507">
        <f>AF49*地域経済性分析・初期条件!$J$9</f>
        <v>0</v>
      </c>
      <c r="AG56" s="507">
        <f>AG49*地域経済性分析・初期条件!$J$9</f>
        <v>0</v>
      </c>
      <c r="AH56" s="507">
        <f>AH49*地域経済性分析・初期条件!$J$9</f>
        <v>0</v>
      </c>
      <c r="AI56" s="548">
        <f t="shared" si="27"/>
        <v>5102245.1083955597</v>
      </c>
      <c r="AJ56" s="548">
        <f t="shared" si="28"/>
        <v>5102245.1083955597</v>
      </c>
      <c r="AK56" s="510">
        <f t="shared" si="29"/>
        <v>5102245.1083955597</v>
      </c>
    </row>
    <row r="57" spans="1:37" ht="11.5" x14ac:dyDescent="0.25">
      <c r="A57" s="546" t="str">
        <f>A48&amp;B57</f>
        <v>はん用機械器具製造業市町村税収（一次）</v>
      </c>
      <c r="B57" s="452" t="s">
        <v>342</v>
      </c>
      <c r="C57" s="465" t="s">
        <v>37</v>
      </c>
      <c r="D57" s="507">
        <f>D49*地域経済性分析・初期条件!$K$9</f>
        <v>2312009.7487161094</v>
      </c>
      <c r="E57" s="507">
        <f>E49*地域経済性分析・初期条件!$K$9</f>
        <v>0</v>
      </c>
      <c r="F57" s="507">
        <f>F49*地域経済性分析・初期条件!$K$9</f>
        <v>0</v>
      </c>
      <c r="G57" s="507">
        <f>G49*地域経済性分析・初期条件!$K$9</f>
        <v>0</v>
      </c>
      <c r="H57" s="507">
        <f>H49*地域経済性分析・初期条件!$K$9</f>
        <v>0</v>
      </c>
      <c r="I57" s="507">
        <f>I49*地域経済性分析・初期条件!$K$9</f>
        <v>0</v>
      </c>
      <c r="J57" s="507">
        <f>J49*地域経済性分析・初期条件!$K$9</f>
        <v>0</v>
      </c>
      <c r="K57" s="507">
        <f>K49*地域経済性分析・初期条件!$K$9</f>
        <v>0</v>
      </c>
      <c r="L57" s="507">
        <f>L49*地域経済性分析・初期条件!$K$9</f>
        <v>0</v>
      </c>
      <c r="M57" s="507">
        <f>M49*地域経済性分析・初期条件!$K$9</f>
        <v>0</v>
      </c>
      <c r="N57" s="507">
        <f>N49*地域経済性分析・初期条件!$K$9</f>
        <v>0</v>
      </c>
      <c r="O57" s="507">
        <f>O49*地域経済性分析・初期条件!$K$9</f>
        <v>0</v>
      </c>
      <c r="P57" s="507">
        <f>P49*地域経済性分析・初期条件!$K$9</f>
        <v>0</v>
      </c>
      <c r="Q57" s="507">
        <f>Q49*地域経済性分析・初期条件!$K$9</f>
        <v>0</v>
      </c>
      <c r="R57" s="507">
        <f>R49*地域経済性分析・初期条件!$K$9</f>
        <v>0</v>
      </c>
      <c r="S57" s="507">
        <f>S49*地域経済性分析・初期条件!$K$9</f>
        <v>0</v>
      </c>
      <c r="T57" s="507">
        <f>T49*地域経済性分析・初期条件!$K$9</f>
        <v>0</v>
      </c>
      <c r="U57" s="507">
        <f>U49*地域経済性分析・初期条件!$K$9</f>
        <v>0</v>
      </c>
      <c r="V57" s="507">
        <f>V49*地域経済性分析・初期条件!$K$9</f>
        <v>0</v>
      </c>
      <c r="W57" s="507">
        <f>W49*地域経済性分析・初期条件!$K$9</f>
        <v>0</v>
      </c>
      <c r="X57" s="507">
        <f>X49*地域経済性分析・初期条件!$K$9</f>
        <v>0</v>
      </c>
      <c r="Y57" s="507">
        <f>Y49*地域経済性分析・初期条件!$K$9</f>
        <v>0</v>
      </c>
      <c r="Z57" s="507">
        <f>Z49*地域経済性分析・初期条件!$K$9</f>
        <v>0</v>
      </c>
      <c r="AA57" s="507">
        <f>AA49*地域経済性分析・初期条件!$K$9</f>
        <v>0</v>
      </c>
      <c r="AB57" s="507">
        <f>AB49*地域経済性分析・初期条件!$K$9</f>
        <v>0</v>
      </c>
      <c r="AC57" s="507">
        <f>AC49*地域経済性分析・初期条件!$K$9</f>
        <v>0</v>
      </c>
      <c r="AD57" s="507">
        <f>AD49*地域経済性分析・初期条件!$K$9</f>
        <v>0</v>
      </c>
      <c r="AE57" s="507">
        <f>AE49*地域経済性分析・初期条件!$K$9</f>
        <v>0</v>
      </c>
      <c r="AF57" s="507">
        <f>AF49*地域経済性分析・初期条件!$K$9</f>
        <v>0</v>
      </c>
      <c r="AG57" s="507">
        <f>AG49*地域経済性分析・初期条件!$K$9</f>
        <v>0</v>
      </c>
      <c r="AH57" s="507">
        <f>AH49*地域経済性分析・初期条件!$K$9</f>
        <v>0</v>
      </c>
      <c r="AI57" s="548">
        <f t="shared" si="27"/>
        <v>2312009.7487161094</v>
      </c>
      <c r="AJ57" s="548">
        <f t="shared" si="28"/>
        <v>2312009.7487161094</v>
      </c>
      <c r="AK57" s="510">
        <f t="shared" si="29"/>
        <v>2312009.7487161094</v>
      </c>
    </row>
    <row r="58" spans="1:37" ht="11.5" x14ac:dyDescent="0.25">
      <c r="A58" s="546"/>
      <c r="B58" s="452" t="s">
        <v>344</v>
      </c>
      <c r="C58" s="465" t="s">
        <v>37</v>
      </c>
      <c r="D58" s="507">
        <f>D49*地域経済性分析・初期条件!$L$9</f>
        <v>20261690.83586096</v>
      </c>
      <c r="E58" s="507">
        <f>E49*地域経済性分析・初期条件!$L$9</f>
        <v>0</v>
      </c>
      <c r="F58" s="507">
        <f>F49*地域経済性分析・初期条件!$L$9</f>
        <v>0</v>
      </c>
      <c r="G58" s="507">
        <f>G49*地域経済性分析・初期条件!$L$9</f>
        <v>0</v>
      </c>
      <c r="H58" s="507">
        <f>H49*地域経済性分析・初期条件!$L$9</f>
        <v>0</v>
      </c>
      <c r="I58" s="507">
        <f>I49*地域経済性分析・初期条件!$L$9</f>
        <v>0</v>
      </c>
      <c r="J58" s="507">
        <f>J49*地域経済性分析・初期条件!$L$9</f>
        <v>0</v>
      </c>
      <c r="K58" s="507">
        <f>K49*地域経済性分析・初期条件!$L$9</f>
        <v>0</v>
      </c>
      <c r="L58" s="507">
        <f>L49*地域経済性分析・初期条件!$L$9</f>
        <v>0</v>
      </c>
      <c r="M58" s="507">
        <f>M49*地域経済性分析・初期条件!$L$9</f>
        <v>0</v>
      </c>
      <c r="N58" s="507">
        <f>N49*地域経済性分析・初期条件!$L$9</f>
        <v>0</v>
      </c>
      <c r="O58" s="507">
        <f>O49*地域経済性分析・初期条件!$L$9</f>
        <v>0</v>
      </c>
      <c r="P58" s="507">
        <f>P49*地域経済性分析・初期条件!$L$9</f>
        <v>0</v>
      </c>
      <c r="Q58" s="507">
        <f>Q49*地域経済性分析・初期条件!$L$9</f>
        <v>0</v>
      </c>
      <c r="R58" s="507">
        <f>R49*地域経済性分析・初期条件!$L$9</f>
        <v>0</v>
      </c>
      <c r="S58" s="507">
        <f>S49*地域経済性分析・初期条件!$L$9</f>
        <v>0</v>
      </c>
      <c r="T58" s="507">
        <f>T49*地域経済性分析・初期条件!$L$9</f>
        <v>0</v>
      </c>
      <c r="U58" s="507">
        <f>U49*地域経済性分析・初期条件!$L$9</f>
        <v>0</v>
      </c>
      <c r="V58" s="507">
        <f>V49*地域経済性分析・初期条件!$L$9</f>
        <v>0</v>
      </c>
      <c r="W58" s="507">
        <f>W49*地域経済性分析・初期条件!$L$9</f>
        <v>0</v>
      </c>
      <c r="X58" s="507">
        <f>X49*地域経済性分析・初期条件!$L$9</f>
        <v>0</v>
      </c>
      <c r="Y58" s="507">
        <f>Y49*地域経済性分析・初期条件!$L$9</f>
        <v>0</v>
      </c>
      <c r="Z58" s="507">
        <f>Z49*地域経済性分析・初期条件!$L$9</f>
        <v>0</v>
      </c>
      <c r="AA58" s="507">
        <f>AA49*地域経済性分析・初期条件!$L$9</f>
        <v>0</v>
      </c>
      <c r="AB58" s="507">
        <f>AB49*地域経済性分析・初期条件!$L$9</f>
        <v>0</v>
      </c>
      <c r="AC58" s="507">
        <f>AC49*地域経済性分析・初期条件!$L$9</f>
        <v>0</v>
      </c>
      <c r="AD58" s="507">
        <f>AD49*地域経済性分析・初期条件!$L$9</f>
        <v>0</v>
      </c>
      <c r="AE58" s="507">
        <f>AE49*地域経済性分析・初期条件!$L$9</f>
        <v>0</v>
      </c>
      <c r="AF58" s="507">
        <f>AF49*地域経済性分析・初期条件!$L$9</f>
        <v>0</v>
      </c>
      <c r="AG58" s="507">
        <f>AG49*地域経済性分析・初期条件!$L$9</f>
        <v>0</v>
      </c>
      <c r="AH58" s="507">
        <f>AH49*地域経済性分析・初期条件!$L$9</f>
        <v>0</v>
      </c>
      <c r="AI58" s="548">
        <f>SUM(D58:N58)</f>
        <v>20261690.83586096</v>
      </c>
      <c r="AJ58" s="548">
        <f>SUM(D58:X58)</f>
        <v>20261690.83586096</v>
      </c>
      <c r="AK58" s="510">
        <f>SUM(D58:AH58)</f>
        <v>20261690.83586096</v>
      </c>
    </row>
    <row r="59" spans="1:37" ht="11.5" x14ac:dyDescent="0.25">
      <c r="A59" s="546"/>
      <c r="B59" s="452" t="s">
        <v>345</v>
      </c>
      <c r="C59" s="465" t="s">
        <v>37</v>
      </c>
      <c r="D59" s="507">
        <f>D49*地域経済性分析・初期条件!$M$9</f>
        <v>19279857.596672639</v>
      </c>
      <c r="E59" s="507">
        <f>E49*地域経済性分析・初期条件!$M$9</f>
        <v>0</v>
      </c>
      <c r="F59" s="507">
        <f>F49*地域経済性分析・初期条件!$M$9</f>
        <v>0</v>
      </c>
      <c r="G59" s="507">
        <f>G49*地域経済性分析・初期条件!$M$9</f>
        <v>0</v>
      </c>
      <c r="H59" s="507">
        <f>H49*地域経済性分析・初期条件!$M$9</f>
        <v>0</v>
      </c>
      <c r="I59" s="507">
        <f>I49*地域経済性分析・初期条件!$M$9</f>
        <v>0</v>
      </c>
      <c r="J59" s="507">
        <f>J49*地域経済性分析・初期条件!$M$9</f>
        <v>0</v>
      </c>
      <c r="K59" s="507">
        <f>K49*地域経済性分析・初期条件!$M$9</f>
        <v>0</v>
      </c>
      <c r="L59" s="507">
        <f>L49*地域経済性分析・初期条件!$M$9</f>
        <v>0</v>
      </c>
      <c r="M59" s="507">
        <f>M49*地域経済性分析・初期条件!$M$9</f>
        <v>0</v>
      </c>
      <c r="N59" s="507">
        <f>N49*地域経済性分析・初期条件!$M$9</f>
        <v>0</v>
      </c>
      <c r="O59" s="507">
        <f>O49*地域経済性分析・初期条件!$M$9</f>
        <v>0</v>
      </c>
      <c r="P59" s="507">
        <f>P49*地域経済性分析・初期条件!$M$9</f>
        <v>0</v>
      </c>
      <c r="Q59" s="507">
        <f>Q49*地域経済性分析・初期条件!$M$9</f>
        <v>0</v>
      </c>
      <c r="R59" s="507">
        <f>R49*地域経済性分析・初期条件!$M$9</f>
        <v>0</v>
      </c>
      <c r="S59" s="507">
        <f>S49*地域経済性分析・初期条件!$M$9</f>
        <v>0</v>
      </c>
      <c r="T59" s="507">
        <f>T49*地域経済性分析・初期条件!$M$9</f>
        <v>0</v>
      </c>
      <c r="U59" s="507">
        <f>U49*地域経済性分析・初期条件!$M$9</f>
        <v>0</v>
      </c>
      <c r="V59" s="507">
        <f>V49*地域経済性分析・初期条件!$M$9</f>
        <v>0</v>
      </c>
      <c r="W59" s="507">
        <f>W49*地域経済性分析・初期条件!$M$9</f>
        <v>0</v>
      </c>
      <c r="X59" s="507">
        <f>X49*地域経済性分析・初期条件!$M$9</f>
        <v>0</v>
      </c>
      <c r="Y59" s="507">
        <f>Y49*地域経済性分析・初期条件!$M$9</f>
        <v>0</v>
      </c>
      <c r="Z59" s="507">
        <f>Z49*地域経済性分析・初期条件!$M$9</f>
        <v>0</v>
      </c>
      <c r="AA59" s="507">
        <f>AA49*地域経済性分析・初期条件!$M$9</f>
        <v>0</v>
      </c>
      <c r="AB59" s="507">
        <f>AB49*地域経済性分析・初期条件!$M$9</f>
        <v>0</v>
      </c>
      <c r="AC59" s="507">
        <f>AC49*地域経済性分析・初期条件!$M$9</f>
        <v>0</v>
      </c>
      <c r="AD59" s="507">
        <f>AD49*地域経済性分析・初期条件!$M$9</f>
        <v>0</v>
      </c>
      <c r="AE59" s="507">
        <f>AE49*地域経済性分析・初期条件!$M$9</f>
        <v>0</v>
      </c>
      <c r="AF59" s="507">
        <f>AF49*地域経済性分析・初期条件!$M$9</f>
        <v>0</v>
      </c>
      <c r="AG59" s="507">
        <f>AG49*地域経済性分析・初期条件!$M$9</f>
        <v>0</v>
      </c>
      <c r="AH59" s="507">
        <f>AH49*地域経済性分析・初期条件!$M$9</f>
        <v>0</v>
      </c>
      <c r="AI59" s="548">
        <f>SUM(D59:N59)</f>
        <v>19279857.596672639</v>
      </c>
      <c r="AJ59" s="548">
        <f>SUM(D59:X59)</f>
        <v>19279857.596672639</v>
      </c>
      <c r="AK59" s="510">
        <f>SUM(D59:AH59)</f>
        <v>19279857.596672639</v>
      </c>
    </row>
    <row r="60" spans="1:37" ht="11.5" x14ac:dyDescent="0.25">
      <c r="A60" s="546"/>
      <c r="B60" s="452" t="s">
        <v>346</v>
      </c>
      <c r="C60" s="465" t="s">
        <v>37</v>
      </c>
      <c r="D60" s="507">
        <f>D49*地域経済性分析・初期条件!$N$9</f>
        <v>4325908.5265688794</v>
      </c>
      <c r="E60" s="507">
        <f>E49*地域経済性分析・初期条件!$N$9</f>
        <v>0</v>
      </c>
      <c r="F60" s="507">
        <f>F49*地域経済性分析・初期条件!$N$9</f>
        <v>0</v>
      </c>
      <c r="G60" s="507">
        <f>G49*地域経済性分析・初期条件!$N$9</f>
        <v>0</v>
      </c>
      <c r="H60" s="507">
        <f>H49*地域経済性分析・初期条件!$N$9</f>
        <v>0</v>
      </c>
      <c r="I60" s="507">
        <f>I49*地域経済性分析・初期条件!$N$9</f>
        <v>0</v>
      </c>
      <c r="J60" s="507">
        <f>J49*地域経済性分析・初期条件!$N$9</f>
        <v>0</v>
      </c>
      <c r="K60" s="507">
        <f>K49*地域経済性分析・初期条件!$N$9</f>
        <v>0</v>
      </c>
      <c r="L60" s="507">
        <f>L49*地域経済性分析・初期条件!$N$9</f>
        <v>0</v>
      </c>
      <c r="M60" s="507">
        <f>M49*地域経済性分析・初期条件!$N$9</f>
        <v>0</v>
      </c>
      <c r="N60" s="507">
        <f>N49*地域経済性分析・初期条件!$N$9</f>
        <v>0</v>
      </c>
      <c r="O60" s="507">
        <f>O49*地域経済性分析・初期条件!$N$9</f>
        <v>0</v>
      </c>
      <c r="P60" s="507">
        <f>P49*地域経済性分析・初期条件!$N$9</f>
        <v>0</v>
      </c>
      <c r="Q60" s="507">
        <f>Q49*地域経済性分析・初期条件!$N$9</f>
        <v>0</v>
      </c>
      <c r="R60" s="507">
        <f>R49*地域経済性分析・初期条件!$N$9</f>
        <v>0</v>
      </c>
      <c r="S60" s="507">
        <f>S49*地域経済性分析・初期条件!$N$9</f>
        <v>0</v>
      </c>
      <c r="T60" s="507">
        <f>T49*地域経済性分析・初期条件!$N$9</f>
        <v>0</v>
      </c>
      <c r="U60" s="507">
        <f>U49*地域経済性分析・初期条件!$N$9</f>
        <v>0</v>
      </c>
      <c r="V60" s="507">
        <f>V49*地域経済性分析・初期条件!$N$9</f>
        <v>0</v>
      </c>
      <c r="W60" s="507">
        <f>W49*地域経済性分析・初期条件!$N$9</f>
        <v>0</v>
      </c>
      <c r="X60" s="507">
        <f>X49*地域経済性分析・初期条件!$N$9</f>
        <v>0</v>
      </c>
      <c r="Y60" s="507">
        <f>Y49*地域経済性分析・初期条件!$N$9</f>
        <v>0</v>
      </c>
      <c r="Z60" s="507">
        <f>Z49*地域経済性分析・初期条件!$N$9</f>
        <v>0</v>
      </c>
      <c r="AA60" s="507">
        <f>AA49*地域経済性分析・初期条件!$N$9</f>
        <v>0</v>
      </c>
      <c r="AB60" s="507">
        <f>AB49*地域経済性分析・初期条件!$N$9</f>
        <v>0</v>
      </c>
      <c r="AC60" s="507">
        <f>AC49*地域経済性分析・初期条件!$N$9</f>
        <v>0</v>
      </c>
      <c r="AD60" s="507">
        <f>AD49*地域経済性分析・初期条件!$N$9</f>
        <v>0</v>
      </c>
      <c r="AE60" s="507">
        <f>AE49*地域経済性分析・初期条件!$N$9</f>
        <v>0</v>
      </c>
      <c r="AF60" s="507">
        <f>AF49*地域経済性分析・初期条件!$N$9</f>
        <v>0</v>
      </c>
      <c r="AG60" s="507">
        <f>AG49*地域経済性分析・初期条件!$N$9</f>
        <v>0</v>
      </c>
      <c r="AH60" s="507">
        <f>AH49*地域経済性分析・初期条件!$N$9</f>
        <v>0</v>
      </c>
      <c r="AI60" s="548">
        <f>SUM(D60:N60)</f>
        <v>4325908.5265688794</v>
      </c>
      <c r="AJ60" s="548">
        <f>SUM(D60:X60)</f>
        <v>4325908.5265688794</v>
      </c>
      <c r="AK60" s="510">
        <f>SUM(D60:AH60)</f>
        <v>4325908.5265688794</v>
      </c>
    </row>
    <row r="61" spans="1:37" ht="11.5" x14ac:dyDescent="0.25">
      <c r="A61" s="546"/>
      <c r="B61" s="452" t="s">
        <v>347</v>
      </c>
      <c r="C61" s="465" t="s">
        <v>37</v>
      </c>
      <c r="D61" s="507">
        <f>D49*地域経済性分析・初期条件!$O$9</f>
        <v>1489831.997282614</v>
      </c>
      <c r="E61" s="507">
        <f>E49*地域経済性分析・初期条件!$O$9</f>
        <v>0</v>
      </c>
      <c r="F61" s="507">
        <f>F49*地域経済性分析・初期条件!$O$9</f>
        <v>0</v>
      </c>
      <c r="G61" s="507">
        <f>G49*地域経済性分析・初期条件!$O$9</f>
        <v>0</v>
      </c>
      <c r="H61" s="507">
        <f>H49*地域経済性分析・初期条件!$O$9</f>
        <v>0</v>
      </c>
      <c r="I61" s="507">
        <f>I49*地域経済性分析・初期条件!$O$9</f>
        <v>0</v>
      </c>
      <c r="J61" s="507">
        <f>J49*地域経済性分析・初期条件!$O$9</f>
        <v>0</v>
      </c>
      <c r="K61" s="507">
        <f>K49*地域経済性分析・初期条件!$O$9</f>
        <v>0</v>
      </c>
      <c r="L61" s="507">
        <f>L49*地域経済性分析・初期条件!$O$9</f>
        <v>0</v>
      </c>
      <c r="M61" s="507">
        <f>M49*地域経済性分析・初期条件!$O$9</f>
        <v>0</v>
      </c>
      <c r="N61" s="507">
        <f>N49*地域経済性分析・初期条件!$O$9</f>
        <v>0</v>
      </c>
      <c r="O61" s="507">
        <f>O49*地域経済性分析・初期条件!$O$9</f>
        <v>0</v>
      </c>
      <c r="P61" s="507">
        <f>P49*地域経済性分析・初期条件!$O$9</f>
        <v>0</v>
      </c>
      <c r="Q61" s="507">
        <f>Q49*地域経済性分析・初期条件!$O$9</f>
        <v>0</v>
      </c>
      <c r="R61" s="507">
        <f>R49*地域経済性分析・初期条件!$O$9</f>
        <v>0</v>
      </c>
      <c r="S61" s="507">
        <f>S49*地域経済性分析・初期条件!$O$9</f>
        <v>0</v>
      </c>
      <c r="T61" s="507">
        <f>T49*地域経済性分析・初期条件!$O$9</f>
        <v>0</v>
      </c>
      <c r="U61" s="507">
        <f>U49*地域経済性分析・初期条件!$O$9</f>
        <v>0</v>
      </c>
      <c r="V61" s="507">
        <f>V49*地域経済性分析・初期条件!$O$9</f>
        <v>0</v>
      </c>
      <c r="W61" s="507">
        <f>W49*地域経済性分析・初期条件!$O$9</f>
        <v>0</v>
      </c>
      <c r="X61" s="507">
        <f>X49*地域経済性分析・初期条件!$O$9</f>
        <v>0</v>
      </c>
      <c r="Y61" s="507">
        <f>Y49*地域経済性分析・初期条件!$O$9</f>
        <v>0</v>
      </c>
      <c r="Z61" s="507">
        <f>Z49*地域経済性分析・初期条件!$O$9</f>
        <v>0</v>
      </c>
      <c r="AA61" s="507">
        <f>AA49*地域経済性分析・初期条件!$O$9</f>
        <v>0</v>
      </c>
      <c r="AB61" s="507">
        <f>AB49*地域経済性分析・初期条件!$O$9</f>
        <v>0</v>
      </c>
      <c r="AC61" s="507">
        <f>AC49*地域経済性分析・初期条件!$O$9</f>
        <v>0</v>
      </c>
      <c r="AD61" s="507">
        <f>AD49*地域経済性分析・初期条件!$O$9</f>
        <v>0</v>
      </c>
      <c r="AE61" s="507">
        <f>AE49*地域経済性分析・初期条件!$O$9</f>
        <v>0</v>
      </c>
      <c r="AF61" s="507">
        <f>AF49*地域経済性分析・初期条件!$O$9</f>
        <v>0</v>
      </c>
      <c r="AG61" s="507">
        <f>AG49*地域経済性分析・初期条件!$O$9</f>
        <v>0</v>
      </c>
      <c r="AH61" s="507">
        <f>AH49*地域経済性分析・初期条件!$O$9</f>
        <v>0</v>
      </c>
      <c r="AI61" s="548">
        <f>SUM(D61:N61)</f>
        <v>1489831.997282614</v>
      </c>
      <c r="AJ61" s="548">
        <f>SUM(D61:X61)</f>
        <v>1489831.997282614</v>
      </c>
      <c r="AK61" s="510">
        <f>SUM(D61:AH61)</f>
        <v>1489831.997282614</v>
      </c>
    </row>
    <row r="62" spans="1:37" ht="11.5" x14ac:dyDescent="0.25">
      <c r="A62" s="502">
        <f>地域経済性分析・初期条件!G10</f>
        <v>0</v>
      </c>
      <c r="C62" s="465"/>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48"/>
      <c r="AJ62" s="548"/>
      <c r="AK62" s="510"/>
    </row>
    <row r="63" spans="1:37" ht="11.5" x14ac:dyDescent="0.25">
      <c r="A63" s="546" t="str">
        <f>A62&amp;B63</f>
        <v>0売上（税別）</v>
      </c>
      <c r="B63" s="452" t="s">
        <v>1047</v>
      </c>
      <c r="C63" s="464" t="s">
        <v>37</v>
      </c>
      <c r="D63" s="507">
        <f>D47*地域経済性分析・初期条件!$F$10</f>
        <v>0</v>
      </c>
      <c r="E63" s="507">
        <f>E47*地域経済性分析・初期条件!$F$10</f>
        <v>0</v>
      </c>
      <c r="F63" s="507">
        <f>F47*地域経済性分析・初期条件!$F$10</f>
        <v>0</v>
      </c>
      <c r="G63" s="507">
        <f>G47*地域経済性分析・初期条件!$F$10</f>
        <v>0</v>
      </c>
      <c r="H63" s="507">
        <f>H47*地域経済性分析・初期条件!$F$10</f>
        <v>0</v>
      </c>
      <c r="I63" s="507">
        <f>I47*地域経済性分析・初期条件!$F$10</f>
        <v>0</v>
      </c>
      <c r="J63" s="507">
        <f>J47*地域経済性分析・初期条件!$F$10</f>
        <v>0</v>
      </c>
      <c r="K63" s="507">
        <f>K47*地域経済性分析・初期条件!$F$10</f>
        <v>0</v>
      </c>
      <c r="L63" s="507">
        <f>L47*地域経済性分析・初期条件!$F$10</f>
        <v>0</v>
      </c>
      <c r="M63" s="507">
        <f>M47*地域経済性分析・初期条件!$F$10</f>
        <v>0</v>
      </c>
      <c r="N63" s="507">
        <f>N47*地域経済性分析・初期条件!$F$10</f>
        <v>0</v>
      </c>
      <c r="O63" s="507">
        <f>O47*地域経済性分析・初期条件!$F$10</f>
        <v>0</v>
      </c>
      <c r="P63" s="507">
        <f>P47*地域経済性分析・初期条件!$F$10</f>
        <v>0</v>
      </c>
      <c r="Q63" s="507">
        <f>Q47*地域経済性分析・初期条件!$F$10</f>
        <v>0</v>
      </c>
      <c r="R63" s="507">
        <f>R47*地域経済性分析・初期条件!$F$10</f>
        <v>0</v>
      </c>
      <c r="S63" s="507">
        <f>S47*地域経済性分析・初期条件!$F$10</f>
        <v>0</v>
      </c>
      <c r="T63" s="507">
        <f>T47*地域経済性分析・初期条件!$F$10</f>
        <v>0</v>
      </c>
      <c r="U63" s="507">
        <f>U47*地域経済性分析・初期条件!$F$10</f>
        <v>0</v>
      </c>
      <c r="V63" s="507">
        <f>V47*地域経済性分析・初期条件!$F$10</f>
        <v>0</v>
      </c>
      <c r="W63" s="507">
        <f>W47*地域経済性分析・初期条件!$F$10</f>
        <v>0</v>
      </c>
      <c r="X63" s="507">
        <f>X47*地域経済性分析・初期条件!$F$10</f>
        <v>0</v>
      </c>
      <c r="Y63" s="507">
        <f>Y47*地域経済性分析・初期条件!$F$10</f>
        <v>0</v>
      </c>
      <c r="Z63" s="507">
        <f>Z47*地域経済性分析・初期条件!$F$10</f>
        <v>0</v>
      </c>
      <c r="AA63" s="507">
        <f>AA47*地域経済性分析・初期条件!$F$10</f>
        <v>0</v>
      </c>
      <c r="AB63" s="507">
        <f>AB47*地域経済性分析・初期条件!$F$10</f>
        <v>0</v>
      </c>
      <c r="AC63" s="507">
        <f>AC47*地域経済性分析・初期条件!$F$10</f>
        <v>0</v>
      </c>
      <c r="AD63" s="507">
        <f>AD47*地域経済性分析・初期条件!$F$10</f>
        <v>0</v>
      </c>
      <c r="AE63" s="507">
        <f>AE47*地域経済性分析・初期条件!$F$10</f>
        <v>0</v>
      </c>
      <c r="AF63" s="507">
        <f>AF47*地域経済性分析・初期条件!$F$10</f>
        <v>0</v>
      </c>
      <c r="AG63" s="507">
        <f>AG47*地域経済性分析・初期条件!$F$10</f>
        <v>0</v>
      </c>
      <c r="AH63" s="507">
        <f>AH47*地域経済性分析・初期条件!$F$10</f>
        <v>0</v>
      </c>
      <c r="AI63" s="548">
        <f t="shared" ref="AI63:AI71" si="30">SUM(D63:N63)</f>
        <v>0</v>
      </c>
      <c r="AJ63" s="548">
        <f>SUM(D63:X63)</f>
        <v>0</v>
      </c>
      <c r="AK63" s="510">
        <f>SUM(D63:AH63)</f>
        <v>0</v>
      </c>
    </row>
    <row r="64" spans="1:37" ht="11.5" x14ac:dyDescent="0.25">
      <c r="A64" s="546"/>
      <c r="B64" s="452" t="s">
        <v>263</v>
      </c>
      <c r="C64" s="464" t="s">
        <v>37</v>
      </c>
      <c r="D64" s="507">
        <f>D63*波及効果シート!$D$72</f>
        <v>0</v>
      </c>
      <c r="E64" s="507">
        <f>E63*波及効果シート!$D$72</f>
        <v>0</v>
      </c>
      <c r="F64" s="507">
        <f>F63*波及効果シート!$D$72</f>
        <v>0</v>
      </c>
      <c r="G64" s="507">
        <f>G63*波及効果シート!$D$72</f>
        <v>0</v>
      </c>
      <c r="H64" s="507">
        <f>H63*波及効果シート!$D$72</f>
        <v>0</v>
      </c>
      <c r="I64" s="507">
        <f>I63*波及効果シート!$D$72</f>
        <v>0</v>
      </c>
      <c r="J64" s="507">
        <f>J63*波及効果シート!$D$72</f>
        <v>0</v>
      </c>
      <c r="K64" s="507">
        <f>K63*波及効果シート!$D$72</f>
        <v>0</v>
      </c>
      <c r="L64" s="507">
        <f>L63*波及効果シート!$D$72</f>
        <v>0</v>
      </c>
      <c r="M64" s="507">
        <f>M63*波及効果シート!$D$72</f>
        <v>0</v>
      </c>
      <c r="N64" s="507">
        <f>N63*波及効果シート!$D$72</f>
        <v>0</v>
      </c>
      <c r="O64" s="507">
        <f>O63*波及効果シート!$D$72</f>
        <v>0</v>
      </c>
      <c r="P64" s="507">
        <f>P63*波及効果シート!$D$72</f>
        <v>0</v>
      </c>
      <c r="Q64" s="507">
        <f>Q63*波及効果シート!$D$72</f>
        <v>0</v>
      </c>
      <c r="R64" s="507">
        <f>R63*波及効果シート!$D$72</f>
        <v>0</v>
      </c>
      <c r="S64" s="507">
        <f>S63*波及効果シート!$D$72</f>
        <v>0</v>
      </c>
      <c r="T64" s="507">
        <f>T63*波及効果シート!$D$72</f>
        <v>0</v>
      </c>
      <c r="U64" s="507">
        <f>U63*波及効果シート!$D$72</f>
        <v>0</v>
      </c>
      <c r="V64" s="507">
        <f>V63*波及効果シート!$D$72</f>
        <v>0</v>
      </c>
      <c r="W64" s="507">
        <f>W63*波及効果シート!$D$72</f>
        <v>0</v>
      </c>
      <c r="X64" s="507">
        <f>X63*波及効果シート!$D$72</f>
        <v>0</v>
      </c>
      <c r="Y64" s="507">
        <f>Y63*波及効果シート!$D$72</f>
        <v>0</v>
      </c>
      <c r="Z64" s="507">
        <f>Z63*波及効果シート!$D$72</f>
        <v>0</v>
      </c>
      <c r="AA64" s="507">
        <f>AA63*波及効果シート!$D$72</f>
        <v>0</v>
      </c>
      <c r="AB64" s="507">
        <f>AB63*波及効果シート!$D$72</f>
        <v>0</v>
      </c>
      <c r="AC64" s="507">
        <f>AC63*波及効果シート!$D$72</f>
        <v>0</v>
      </c>
      <c r="AD64" s="507">
        <f>AD63*波及効果シート!$D$72</f>
        <v>0</v>
      </c>
      <c r="AE64" s="507">
        <f>AE63*波及効果シート!$D$72</f>
        <v>0</v>
      </c>
      <c r="AF64" s="507">
        <f>AF63*波及効果シート!$D$72</f>
        <v>0</v>
      </c>
      <c r="AG64" s="507">
        <f>AG63*波及効果シート!$D$72</f>
        <v>0</v>
      </c>
      <c r="AH64" s="507">
        <f>AH63*波及効果シート!$D$72</f>
        <v>0</v>
      </c>
      <c r="AI64" s="548">
        <f t="shared" si="30"/>
        <v>0</v>
      </c>
      <c r="AJ64" s="548">
        <f>SUM(D64:X64)</f>
        <v>0</v>
      </c>
      <c r="AK64" s="510">
        <f>SUM(D64:AH64)</f>
        <v>0</v>
      </c>
    </row>
    <row r="65" spans="1:37" ht="11.5" x14ac:dyDescent="0.25">
      <c r="A65" s="546"/>
      <c r="B65" s="452" t="s">
        <v>1048</v>
      </c>
      <c r="C65" s="465" t="s">
        <v>37</v>
      </c>
      <c r="D65" s="507">
        <f>D63*波及効果シート!$D$74</f>
        <v>0</v>
      </c>
      <c r="E65" s="507">
        <f>E63*波及効果シート!$D$74</f>
        <v>0</v>
      </c>
      <c r="F65" s="507">
        <f>F63*波及効果シート!$D$74</f>
        <v>0</v>
      </c>
      <c r="G65" s="507">
        <f>G63*波及効果シート!$D$74</f>
        <v>0</v>
      </c>
      <c r="H65" s="507">
        <f>H63*波及効果シート!$D$74</f>
        <v>0</v>
      </c>
      <c r="I65" s="507">
        <f>I63*波及効果シート!$D$74</f>
        <v>0</v>
      </c>
      <c r="J65" s="507">
        <f>J63*波及効果シート!$D$74</f>
        <v>0</v>
      </c>
      <c r="K65" s="507">
        <f>K63*波及効果シート!$D$74</f>
        <v>0</v>
      </c>
      <c r="L65" s="507">
        <f>L63*波及効果シート!$D$74</f>
        <v>0</v>
      </c>
      <c r="M65" s="507">
        <f>M63*波及効果シート!$D$74</f>
        <v>0</v>
      </c>
      <c r="N65" s="507">
        <f>N63*波及効果シート!$D$74</f>
        <v>0</v>
      </c>
      <c r="O65" s="507">
        <f>O63*波及効果シート!$D$74</f>
        <v>0</v>
      </c>
      <c r="P65" s="507">
        <f>P63*波及効果シート!$D$74</f>
        <v>0</v>
      </c>
      <c r="Q65" s="507">
        <f>Q63*波及効果シート!$D$74</f>
        <v>0</v>
      </c>
      <c r="R65" s="507">
        <f>R63*波及効果シート!$D$74</f>
        <v>0</v>
      </c>
      <c r="S65" s="507">
        <f>S63*波及効果シート!$D$74</f>
        <v>0</v>
      </c>
      <c r="T65" s="507">
        <f>T63*波及効果シート!$D$74</f>
        <v>0</v>
      </c>
      <c r="U65" s="507">
        <f>U63*波及効果シート!$D$74</f>
        <v>0</v>
      </c>
      <c r="V65" s="507">
        <f>V63*波及効果シート!$D$74</f>
        <v>0</v>
      </c>
      <c r="W65" s="507">
        <f>W63*波及効果シート!$D$74</f>
        <v>0</v>
      </c>
      <c r="X65" s="507">
        <f>X63*波及効果シート!$D$74</f>
        <v>0</v>
      </c>
      <c r="Y65" s="507">
        <f>Y63*波及効果シート!$D$74</f>
        <v>0</v>
      </c>
      <c r="Z65" s="507">
        <f>Z63*波及効果シート!$D$74</f>
        <v>0</v>
      </c>
      <c r="AA65" s="507">
        <f>AA63*波及効果シート!$D$74</f>
        <v>0</v>
      </c>
      <c r="AB65" s="507">
        <f>AB63*波及効果シート!$D$74</f>
        <v>0</v>
      </c>
      <c r="AC65" s="507">
        <f>AC63*波及効果シート!$D$74</f>
        <v>0</v>
      </c>
      <c r="AD65" s="507">
        <f>AD63*波及効果シート!$D$74</f>
        <v>0</v>
      </c>
      <c r="AE65" s="507">
        <f>AE63*波及効果シート!$D$74</f>
        <v>0</v>
      </c>
      <c r="AF65" s="507">
        <f>AF63*波及効果シート!$D$74</f>
        <v>0</v>
      </c>
      <c r="AG65" s="507">
        <f>AG63*波及効果シート!$D$74</f>
        <v>0</v>
      </c>
      <c r="AH65" s="507">
        <f>AH63*波及効果シート!$D$74</f>
        <v>0</v>
      </c>
      <c r="AI65" s="548">
        <f t="shared" si="30"/>
        <v>0</v>
      </c>
      <c r="AJ65" s="548">
        <f>SUM(D65:X65)</f>
        <v>0</v>
      </c>
      <c r="AK65" s="510">
        <f>SUM(D65:AH65)</f>
        <v>0</v>
      </c>
    </row>
    <row r="66" spans="1:37" ht="11.5" x14ac:dyDescent="0.25">
      <c r="A66" s="546"/>
      <c r="B66" s="452" t="s">
        <v>356</v>
      </c>
      <c r="C66" s="465" t="s">
        <v>37</v>
      </c>
      <c r="D66" s="507">
        <f>D63*地域経済性分析・初期条件!$P$10</f>
        <v>0</v>
      </c>
      <c r="E66" s="507">
        <f>E63*地域経済性分析・初期条件!$P$10</f>
        <v>0</v>
      </c>
      <c r="F66" s="507">
        <f>F63*地域経済性分析・初期条件!$P$10</f>
        <v>0</v>
      </c>
      <c r="G66" s="507">
        <f>G63*地域経済性分析・初期条件!$P$10</f>
        <v>0</v>
      </c>
      <c r="H66" s="507">
        <f>H63*地域経済性分析・初期条件!$P$10</f>
        <v>0</v>
      </c>
      <c r="I66" s="507">
        <f>I63*地域経済性分析・初期条件!$P$10</f>
        <v>0</v>
      </c>
      <c r="J66" s="507">
        <f>J63*地域経済性分析・初期条件!$P$10</f>
        <v>0</v>
      </c>
      <c r="K66" s="507">
        <f>K63*地域経済性分析・初期条件!$P$10</f>
        <v>0</v>
      </c>
      <c r="L66" s="507">
        <f>L63*地域経済性分析・初期条件!$P$10</f>
        <v>0</v>
      </c>
      <c r="M66" s="507">
        <f>M63*地域経済性分析・初期条件!$P$10</f>
        <v>0</v>
      </c>
      <c r="N66" s="507">
        <f>N63*地域経済性分析・初期条件!$P$10</f>
        <v>0</v>
      </c>
      <c r="O66" s="507">
        <f>O63*地域経済性分析・初期条件!$P$10</f>
        <v>0</v>
      </c>
      <c r="P66" s="507">
        <f>P63*地域経済性分析・初期条件!$P$10</f>
        <v>0</v>
      </c>
      <c r="Q66" s="507">
        <f>Q63*地域経済性分析・初期条件!$P$10</f>
        <v>0</v>
      </c>
      <c r="R66" s="507">
        <f>R63*地域経済性分析・初期条件!$P$10</f>
        <v>0</v>
      </c>
      <c r="S66" s="507">
        <f>S63*地域経済性分析・初期条件!$P$10</f>
        <v>0</v>
      </c>
      <c r="T66" s="507">
        <f>T63*地域経済性分析・初期条件!$P$10</f>
        <v>0</v>
      </c>
      <c r="U66" s="507">
        <f>U63*地域経済性分析・初期条件!$P$10</f>
        <v>0</v>
      </c>
      <c r="V66" s="507">
        <f>V63*地域経済性分析・初期条件!$P$10</f>
        <v>0</v>
      </c>
      <c r="W66" s="507">
        <f>W63*地域経済性分析・初期条件!$P$10</f>
        <v>0</v>
      </c>
      <c r="X66" s="507">
        <f>X63*地域経済性分析・初期条件!$P$10</f>
        <v>0</v>
      </c>
      <c r="Y66" s="507">
        <f>Y63*地域経済性分析・初期条件!$P$10</f>
        <v>0</v>
      </c>
      <c r="Z66" s="507">
        <f>Z63*地域経済性分析・初期条件!$P$10</f>
        <v>0</v>
      </c>
      <c r="AA66" s="507">
        <f>AA63*地域経済性分析・初期条件!$P$10</f>
        <v>0</v>
      </c>
      <c r="AB66" s="507">
        <f>AB63*地域経済性分析・初期条件!$P$10</f>
        <v>0</v>
      </c>
      <c r="AC66" s="507">
        <f>AC63*地域経済性分析・初期条件!$P$10</f>
        <v>0</v>
      </c>
      <c r="AD66" s="507">
        <f>AD63*地域経済性分析・初期条件!$P$10</f>
        <v>0</v>
      </c>
      <c r="AE66" s="507">
        <f>AE63*地域経済性分析・初期条件!$P$10</f>
        <v>0</v>
      </c>
      <c r="AF66" s="507">
        <f>AF63*地域経済性分析・初期条件!$P$10</f>
        <v>0</v>
      </c>
      <c r="AG66" s="507">
        <f>AG63*地域経済性分析・初期条件!$P$10</f>
        <v>0</v>
      </c>
      <c r="AH66" s="507">
        <f>AH63*地域経済性分析・初期条件!$P$10</f>
        <v>0</v>
      </c>
      <c r="AI66" s="548">
        <f t="shared" si="30"/>
        <v>0</v>
      </c>
      <c r="AJ66" s="548">
        <f>SUM(D66:X66)</f>
        <v>0</v>
      </c>
      <c r="AK66" s="510">
        <f>SUM(D66:AH66)</f>
        <v>0</v>
      </c>
    </row>
    <row r="67" spans="1:37" ht="11.5" x14ac:dyDescent="0.25">
      <c r="A67" s="546"/>
      <c r="B67" s="452" t="s">
        <v>355</v>
      </c>
      <c r="C67" s="465" t="s">
        <v>37</v>
      </c>
      <c r="D67" s="507">
        <f>D63*地域経済性分析・初期条件!$Q$10</f>
        <v>0</v>
      </c>
      <c r="E67" s="507">
        <f>E63*地域経済性分析・初期条件!$Q$10</f>
        <v>0</v>
      </c>
      <c r="F67" s="507">
        <f>F63*地域経済性分析・初期条件!$Q$10</f>
        <v>0</v>
      </c>
      <c r="G67" s="507">
        <f>G63*地域経済性分析・初期条件!$Q$10</f>
        <v>0</v>
      </c>
      <c r="H67" s="507">
        <f>H63*地域経済性分析・初期条件!$Q$10</f>
        <v>0</v>
      </c>
      <c r="I67" s="507">
        <f>I63*地域経済性分析・初期条件!$Q$10</f>
        <v>0</v>
      </c>
      <c r="J67" s="507">
        <f>J63*地域経済性分析・初期条件!$Q$10</f>
        <v>0</v>
      </c>
      <c r="K67" s="507">
        <f>K63*地域経済性分析・初期条件!$Q$10</f>
        <v>0</v>
      </c>
      <c r="L67" s="507">
        <f>L63*地域経済性分析・初期条件!$Q$10</f>
        <v>0</v>
      </c>
      <c r="M67" s="507">
        <f>M63*地域経済性分析・初期条件!$Q$10</f>
        <v>0</v>
      </c>
      <c r="N67" s="507">
        <f>N63*地域経済性分析・初期条件!$Q$10</f>
        <v>0</v>
      </c>
      <c r="O67" s="507">
        <f>O63*地域経済性分析・初期条件!$Q$10</f>
        <v>0</v>
      </c>
      <c r="P67" s="507">
        <f>P63*地域経済性分析・初期条件!$Q$10</f>
        <v>0</v>
      </c>
      <c r="Q67" s="507">
        <f>Q63*地域経済性分析・初期条件!$Q$10</f>
        <v>0</v>
      </c>
      <c r="R67" s="507">
        <f>R63*地域経済性分析・初期条件!$Q$10</f>
        <v>0</v>
      </c>
      <c r="S67" s="507">
        <f>S63*地域経済性分析・初期条件!$Q$10</f>
        <v>0</v>
      </c>
      <c r="T67" s="507">
        <f>T63*地域経済性分析・初期条件!$Q$10</f>
        <v>0</v>
      </c>
      <c r="U67" s="507">
        <f>U63*地域経済性分析・初期条件!$Q$10</f>
        <v>0</v>
      </c>
      <c r="V67" s="507">
        <f>V63*地域経済性分析・初期条件!$Q$10</f>
        <v>0</v>
      </c>
      <c r="W67" s="507">
        <f>W63*地域経済性分析・初期条件!$Q$10</f>
        <v>0</v>
      </c>
      <c r="X67" s="507">
        <f>X63*地域経済性分析・初期条件!$Q$10</f>
        <v>0</v>
      </c>
      <c r="Y67" s="507">
        <f>Y63*地域経済性分析・初期条件!$Q$10</f>
        <v>0</v>
      </c>
      <c r="Z67" s="507">
        <f>Z63*地域経済性分析・初期条件!$Q$10</f>
        <v>0</v>
      </c>
      <c r="AA67" s="507">
        <f>AA63*地域経済性分析・初期条件!$Q$10</f>
        <v>0</v>
      </c>
      <c r="AB67" s="507">
        <f>AB63*地域経済性分析・初期条件!$Q$10</f>
        <v>0</v>
      </c>
      <c r="AC67" s="507">
        <f>AC63*地域経済性分析・初期条件!$Q$10</f>
        <v>0</v>
      </c>
      <c r="AD67" s="507">
        <f>AD63*地域経済性分析・初期条件!$Q$10</f>
        <v>0</v>
      </c>
      <c r="AE67" s="507">
        <f>AE63*地域経済性分析・初期条件!$Q$10</f>
        <v>0</v>
      </c>
      <c r="AF67" s="507">
        <f>AF63*地域経済性分析・初期条件!$Q$10</f>
        <v>0</v>
      </c>
      <c r="AG67" s="507">
        <f>AG63*地域経済性分析・初期条件!$Q$10</f>
        <v>0</v>
      </c>
      <c r="AH67" s="507">
        <f>AH63*地域経済性分析・初期条件!$Q$10</f>
        <v>0</v>
      </c>
      <c r="AI67" s="548">
        <f t="shared" si="30"/>
        <v>0</v>
      </c>
      <c r="AJ67" s="548">
        <f>SUM(D67:X67)</f>
        <v>0</v>
      </c>
      <c r="AK67" s="510">
        <f>SUM(D67:AH67)</f>
        <v>0</v>
      </c>
    </row>
    <row r="68" spans="1:37" ht="11.5" x14ac:dyDescent="0.25">
      <c r="A68" s="546" t="str">
        <f>A62&amp;B68</f>
        <v>0従業員の可処分所得（一次）</v>
      </c>
      <c r="B68" s="452" t="s">
        <v>339</v>
      </c>
      <c r="C68" s="464" t="s">
        <v>37</v>
      </c>
      <c r="D68" s="507">
        <f>D63*地域経済性分析・初期条件!$H$10</f>
        <v>0</v>
      </c>
      <c r="E68" s="507">
        <f>E63*地域経済性分析・初期条件!$H$10</f>
        <v>0</v>
      </c>
      <c r="F68" s="507">
        <f>F63*地域経済性分析・初期条件!$H$10</f>
        <v>0</v>
      </c>
      <c r="G68" s="507">
        <f>G63*地域経済性分析・初期条件!$H$10</f>
        <v>0</v>
      </c>
      <c r="H68" s="507">
        <f>H63*地域経済性分析・初期条件!$H$10</f>
        <v>0</v>
      </c>
      <c r="I68" s="507">
        <f>I63*地域経済性分析・初期条件!$H$10</f>
        <v>0</v>
      </c>
      <c r="J68" s="507">
        <f>J63*地域経済性分析・初期条件!$H$10</f>
        <v>0</v>
      </c>
      <c r="K68" s="507">
        <f>K63*地域経済性分析・初期条件!$H$10</f>
        <v>0</v>
      </c>
      <c r="L68" s="507">
        <f>L63*地域経済性分析・初期条件!$H$10</f>
        <v>0</v>
      </c>
      <c r="M68" s="507">
        <f>M63*地域経済性分析・初期条件!$H$10</f>
        <v>0</v>
      </c>
      <c r="N68" s="507">
        <f>N63*地域経済性分析・初期条件!$H$10</f>
        <v>0</v>
      </c>
      <c r="O68" s="507">
        <f>O63*地域経済性分析・初期条件!$H$10</f>
        <v>0</v>
      </c>
      <c r="P68" s="507">
        <f>P63*地域経済性分析・初期条件!$H$10</f>
        <v>0</v>
      </c>
      <c r="Q68" s="507">
        <f>Q63*地域経済性分析・初期条件!$H$10</f>
        <v>0</v>
      </c>
      <c r="R68" s="507">
        <f>R63*地域経済性分析・初期条件!$H$10</f>
        <v>0</v>
      </c>
      <c r="S68" s="507">
        <f>S63*地域経済性分析・初期条件!$H$10</f>
        <v>0</v>
      </c>
      <c r="T68" s="507">
        <f>T63*地域経済性分析・初期条件!$H$10</f>
        <v>0</v>
      </c>
      <c r="U68" s="507">
        <f>U63*地域経済性分析・初期条件!$H$10</f>
        <v>0</v>
      </c>
      <c r="V68" s="507">
        <f>V63*地域経済性分析・初期条件!$H$10</f>
        <v>0</v>
      </c>
      <c r="W68" s="507">
        <f>W63*地域経済性分析・初期条件!$H$10</f>
        <v>0</v>
      </c>
      <c r="X68" s="507">
        <f>X63*地域経済性分析・初期条件!$H$10</f>
        <v>0</v>
      </c>
      <c r="Y68" s="507">
        <f>Y63*地域経済性分析・初期条件!$H$10</f>
        <v>0</v>
      </c>
      <c r="Z68" s="507">
        <f>Z63*地域経済性分析・初期条件!$H$10</f>
        <v>0</v>
      </c>
      <c r="AA68" s="507">
        <f>AA63*地域経済性分析・初期条件!$H$10</f>
        <v>0</v>
      </c>
      <c r="AB68" s="507">
        <f>AB63*地域経済性分析・初期条件!$H$10</f>
        <v>0</v>
      </c>
      <c r="AC68" s="507">
        <f>AC63*地域経済性分析・初期条件!$H$10</f>
        <v>0</v>
      </c>
      <c r="AD68" s="507">
        <f>AD63*地域経済性分析・初期条件!$H$10</f>
        <v>0</v>
      </c>
      <c r="AE68" s="507">
        <f>AE63*地域経済性分析・初期条件!$H$10</f>
        <v>0</v>
      </c>
      <c r="AF68" s="507">
        <f>AF63*地域経済性分析・初期条件!$H$10</f>
        <v>0</v>
      </c>
      <c r="AG68" s="507">
        <f>AG63*地域経済性分析・初期条件!$H$10</f>
        <v>0</v>
      </c>
      <c r="AH68" s="507">
        <f>AH63*地域経済性分析・初期条件!$H$10</f>
        <v>0</v>
      </c>
      <c r="AI68" s="548">
        <f t="shared" si="30"/>
        <v>0</v>
      </c>
      <c r="AJ68" s="548">
        <f t="shared" ref="AJ68:AJ75" si="31">SUM(D68:X68)</f>
        <v>0</v>
      </c>
      <c r="AK68" s="510">
        <f t="shared" ref="AK68:AK75" si="32">SUM(D68:AH68)</f>
        <v>0</v>
      </c>
    </row>
    <row r="69" spans="1:37" ht="11.5" x14ac:dyDescent="0.25">
      <c r="A69" s="546" t="str">
        <f>A62&amp;B69</f>
        <v>0企業の税引後利益（一次）</v>
      </c>
      <c r="B69" s="452" t="s">
        <v>340</v>
      </c>
      <c r="C69" s="464" t="s">
        <v>37</v>
      </c>
      <c r="D69" s="507">
        <f>D63*地域経済性分析・初期条件!$I$10</f>
        <v>0</v>
      </c>
      <c r="E69" s="507">
        <f>E63*地域経済性分析・初期条件!$I$10</f>
        <v>0</v>
      </c>
      <c r="F69" s="507">
        <f>F63*地域経済性分析・初期条件!$I$10</f>
        <v>0</v>
      </c>
      <c r="G69" s="507">
        <f>G63*地域経済性分析・初期条件!$I$10</f>
        <v>0</v>
      </c>
      <c r="H69" s="507">
        <f>H63*地域経済性分析・初期条件!$I$10</f>
        <v>0</v>
      </c>
      <c r="I69" s="507">
        <f>I63*地域経済性分析・初期条件!$I$10</f>
        <v>0</v>
      </c>
      <c r="J69" s="507">
        <f>J63*地域経済性分析・初期条件!$I$10</f>
        <v>0</v>
      </c>
      <c r="K69" s="507">
        <f>K63*地域経済性分析・初期条件!$I$10</f>
        <v>0</v>
      </c>
      <c r="L69" s="507">
        <f>L63*地域経済性分析・初期条件!$I$10</f>
        <v>0</v>
      </c>
      <c r="M69" s="507">
        <f>M63*地域経済性分析・初期条件!$I$10</f>
        <v>0</v>
      </c>
      <c r="N69" s="507">
        <f>N63*地域経済性分析・初期条件!$I$10</f>
        <v>0</v>
      </c>
      <c r="O69" s="507">
        <f>O63*地域経済性分析・初期条件!$I$10</f>
        <v>0</v>
      </c>
      <c r="P69" s="507">
        <f>P63*地域経済性分析・初期条件!$I$10</f>
        <v>0</v>
      </c>
      <c r="Q69" s="507">
        <f>Q63*地域経済性分析・初期条件!$I$10</f>
        <v>0</v>
      </c>
      <c r="R69" s="507">
        <f>R63*地域経済性分析・初期条件!$I$10</f>
        <v>0</v>
      </c>
      <c r="S69" s="507">
        <f>S63*地域経済性分析・初期条件!$I$10</f>
        <v>0</v>
      </c>
      <c r="T69" s="507">
        <f>T63*地域経済性分析・初期条件!$I$10</f>
        <v>0</v>
      </c>
      <c r="U69" s="507">
        <f>U63*地域経済性分析・初期条件!$I$10</f>
        <v>0</v>
      </c>
      <c r="V69" s="507">
        <f>V63*地域経済性分析・初期条件!$I$10</f>
        <v>0</v>
      </c>
      <c r="W69" s="507">
        <f>W63*地域経済性分析・初期条件!$I$10</f>
        <v>0</v>
      </c>
      <c r="X69" s="507">
        <f>X63*地域経済性分析・初期条件!$I$10</f>
        <v>0</v>
      </c>
      <c r="Y69" s="507">
        <f>Y63*地域経済性分析・初期条件!$I$10</f>
        <v>0</v>
      </c>
      <c r="Z69" s="507">
        <f>Z63*地域経済性分析・初期条件!$I$10</f>
        <v>0</v>
      </c>
      <c r="AA69" s="507">
        <f>AA63*地域経済性分析・初期条件!$I$10</f>
        <v>0</v>
      </c>
      <c r="AB69" s="507">
        <f>AB63*地域経済性分析・初期条件!$I$10</f>
        <v>0</v>
      </c>
      <c r="AC69" s="507">
        <f>AC63*地域経済性分析・初期条件!$I$10</f>
        <v>0</v>
      </c>
      <c r="AD69" s="507">
        <f>AD63*地域経済性分析・初期条件!$I$10</f>
        <v>0</v>
      </c>
      <c r="AE69" s="507">
        <f>AE63*地域経済性分析・初期条件!$I$10</f>
        <v>0</v>
      </c>
      <c r="AF69" s="507">
        <f>AF63*地域経済性分析・初期条件!$I$10</f>
        <v>0</v>
      </c>
      <c r="AG69" s="507">
        <f>AG63*地域経済性分析・初期条件!$I$10</f>
        <v>0</v>
      </c>
      <c r="AH69" s="507">
        <f>AH63*地域経済性分析・初期条件!$I$10</f>
        <v>0</v>
      </c>
      <c r="AI69" s="548">
        <f t="shared" si="30"/>
        <v>0</v>
      </c>
      <c r="AJ69" s="548">
        <f t="shared" si="31"/>
        <v>0</v>
      </c>
      <c r="AK69" s="510">
        <f t="shared" si="32"/>
        <v>0</v>
      </c>
    </row>
    <row r="70" spans="1:37" ht="11.5" x14ac:dyDescent="0.25">
      <c r="A70" s="546" t="str">
        <f>A62&amp;B70</f>
        <v>0都道府県税収（一次）</v>
      </c>
      <c r="B70" s="452" t="s">
        <v>341</v>
      </c>
      <c r="C70" s="464" t="s">
        <v>37</v>
      </c>
      <c r="D70" s="507">
        <f>D63*地域経済性分析・初期条件!$J$10</f>
        <v>0</v>
      </c>
      <c r="E70" s="507">
        <f>E63*地域経済性分析・初期条件!$J$10</f>
        <v>0</v>
      </c>
      <c r="F70" s="507">
        <f>F63*地域経済性分析・初期条件!$J$10</f>
        <v>0</v>
      </c>
      <c r="G70" s="507">
        <f>G63*地域経済性分析・初期条件!$J$10</f>
        <v>0</v>
      </c>
      <c r="H70" s="507">
        <f>H63*地域経済性分析・初期条件!$J$10</f>
        <v>0</v>
      </c>
      <c r="I70" s="507">
        <f>I63*地域経済性分析・初期条件!$J$10</f>
        <v>0</v>
      </c>
      <c r="J70" s="507">
        <f>J63*地域経済性分析・初期条件!$J$10</f>
        <v>0</v>
      </c>
      <c r="K70" s="507">
        <f>K63*地域経済性分析・初期条件!$J$10</f>
        <v>0</v>
      </c>
      <c r="L70" s="507">
        <f>L63*地域経済性分析・初期条件!$J$10</f>
        <v>0</v>
      </c>
      <c r="M70" s="507">
        <f>M63*地域経済性分析・初期条件!$J$10</f>
        <v>0</v>
      </c>
      <c r="N70" s="507">
        <f>N63*地域経済性分析・初期条件!$J$10</f>
        <v>0</v>
      </c>
      <c r="O70" s="507">
        <f>O63*地域経済性分析・初期条件!$J$10</f>
        <v>0</v>
      </c>
      <c r="P70" s="507">
        <f>P63*地域経済性分析・初期条件!$J$10</f>
        <v>0</v>
      </c>
      <c r="Q70" s="507">
        <f>Q63*地域経済性分析・初期条件!$J$10</f>
        <v>0</v>
      </c>
      <c r="R70" s="507">
        <f>R63*地域経済性分析・初期条件!$J$10</f>
        <v>0</v>
      </c>
      <c r="S70" s="507">
        <f>S63*地域経済性分析・初期条件!$J$10</f>
        <v>0</v>
      </c>
      <c r="T70" s="507">
        <f>T63*地域経済性分析・初期条件!$J$10</f>
        <v>0</v>
      </c>
      <c r="U70" s="507">
        <f>U63*地域経済性分析・初期条件!$J$10</f>
        <v>0</v>
      </c>
      <c r="V70" s="507">
        <f>V63*地域経済性分析・初期条件!$J$10</f>
        <v>0</v>
      </c>
      <c r="W70" s="507">
        <f>W63*地域経済性分析・初期条件!$J$10</f>
        <v>0</v>
      </c>
      <c r="X70" s="507">
        <f>X63*地域経済性分析・初期条件!$J$10</f>
        <v>0</v>
      </c>
      <c r="Y70" s="507">
        <f>Y63*地域経済性分析・初期条件!$J$10</f>
        <v>0</v>
      </c>
      <c r="Z70" s="507">
        <f>Z63*地域経済性分析・初期条件!$J$10</f>
        <v>0</v>
      </c>
      <c r="AA70" s="507">
        <f>AA63*地域経済性分析・初期条件!$J$10</f>
        <v>0</v>
      </c>
      <c r="AB70" s="507">
        <f>AB63*地域経済性分析・初期条件!$J$10</f>
        <v>0</v>
      </c>
      <c r="AC70" s="507">
        <f>AC63*地域経済性分析・初期条件!$J$10</f>
        <v>0</v>
      </c>
      <c r="AD70" s="507">
        <f>AD63*地域経済性分析・初期条件!$J$10</f>
        <v>0</v>
      </c>
      <c r="AE70" s="507">
        <f>AE63*地域経済性分析・初期条件!$J$10</f>
        <v>0</v>
      </c>
      <c r="AF70" s="507">
        <f>AF63*地域経済性分析・初期条件!$J$10</f>
        <v>0</v>
      </c>
      <c r="AG70" s="507">
        <f>AG63*地域経済性分析・初期条件!$J$10</f>
        <v>0</v>
      </c>
      <c r="AH70" s="507">
        <f>AH63*地域経済性分析・初期条件!$J$10</f>
        <v>0</v>
      </c>
      <c r="AI70" s="548">
        <f t="shared" si="30"/>
        <v>0</v>
      </c>
      <c r="AJ70" s="548">
        <f t="shared" si="31"/>
        <v>0</v>
      </c>
      <c r="AK70" s="510">
        <f t="shared" si="32"/>
        <v>0</v>
      </c>
    </row>
    <row r="71" spans="1:37" ht="11.5" x14ac:dyDescent="0.25">
      <c r="A71" s="546" t="str">
        <f>A62&amp;B71</f>
        <v>0市町村税収（一次）</v>
      </c>
      <c r="B71" s="452" t="s">
        <v>342</v>
      </c>
      <c r="C71" s="465" t="s">
        <v>37</v>
      </c>
      <c r="D71" s="507">
        <f>D63*地域経済性分析・初期条件!$K$10</f>
        <v>0</v>
      </c>
      <c r="E71" s="507">
        <f>E63*地域経済性分析・初期条件!$K$10</f>
        <v>0</v>
      </c>
      <c r="F71" s="507">
        <f>F63*地域経済性分析・初期条件!$K$10</f>
        <v>0</v>
      </c>
      <c r="G71" s="507">
        <f>G63*地域経済性分析・初期条件!$K$10</f>
        <v>0</v>
      </c>
      <c r="H71" s="507">
        <f>H63*地域経済性分析・初期条件!$K$10</f>
        <v>0</v>
      </c>
      <c r="I71" s="507">
        <f>I63*地域経済性分析・初期条件!$K$10</f>
        <v>0</v>
      </c>
      <c r="J71" s="507">
        <f>J63*地域経済性分析・初期条件!$K$10</f>
        <v>0</v>
      </c>
      <c r="K71" s="507">
        <f>K63*地域経済性分析・初期条件!$K$10</f>
        <v>0</v>
      </c>
      <c r="L71" s="507">
        <f>L63*地域経済性分析・初期条件!$K$10</f>
        <v>0</v>
      </c>
      <c r="M71" s="507">
        <f>M63*地域経済性分析・初期条件!$K$10</f>
        <v>0</v>
      </c>
      <c r="N71" s="507">
        <f>N63*地域経済性分析・初期条件!$K$10</f>
        <v>0</v>
      </c>
      <c r="O71" s="507">
        <f>O63*地域経済性分析・初期条件!$K$10</f>
        <v>0</v>
      </c>
      <c r="P71" s="507">
        <f>P63*地域経済性分析・初期条件!$K$10</f>
        <v>0</v>
      </c>
      <c r="Q71" s="507">
        <f>Q63*地域経済性分析・初期条件!$K$10</f>
        <v>0</v>
      </c>
      <c r="R71" s="507">
        <f>R63*地域経済性分析・初期条件!$K$10</f>
        <v>0</v>
      </c>
      <c r="S71" s="507">
        <f>S63*地域経済性分析・初期条件!$K$10</f>
        <v>0</v>
      </c>
      <c r="T71" s="507">
        <f>T63*地域経済性分析・初期条件!$K$10</f>
        <v>0</v>
      </c>
      <c r="U71" s="507">
        <f>U63*地域経済性分析・初期条件!$K$10</f>
        <v>0</v>
      </c>
      <c r="V71" s="507">
        <f>V63*地域経済性分析・初期条件!$K$10</f>
        <v>0</v>
      </c>
      <c r="W71" s="507">
        <f>W63*地域経済性分析・初期条件!$K$10</f>
        <v>0</v>
      </c>
      <c r="X71" s="507">
        <f>X63*地域経済性分析・初期条件!$K$10</f>
        <v>0</v>
      </c>
      <c r="Y71" s="507">
        <f>Y63*地域経済性分析・初期条件!$K$10</f>
        <v>0</v>
      </c>
      <c r="Z71" s="507">
        <f>Z63*地域経済性分析・初期条件!$K$10</f>
        <v>0</v>
      </c>
      <c r="AA71" s="507">
        <f>AA63*地域経済性分析・初期条件!$K$10</f>
        <v>0</v>
      </c>
      <c r="AB71" s="507">
        <f>AB63*地域経済性分析・初期条件!$K$10</f>
        <v>0</v>
      </c>
      <c r="AC71" s="507">
        <f>AC63*地域経済性分析・初期条件!$K$10</f>
        <v>0</v>
      </c>
      <c r="AD71" s="507">
        <f>AD63*地域経済性分析・初期条件!$K$10</f>
        <v>0</v>
      </c>
      <c r="AE71" s="507">
        <f>AE63*地域経済性分析・初期条件!$K$10</f>
        <v>0</v>
      </c>
      <c r="AF71" s="507">
        <f>AF63*地域経済性分析・初期条件!$K$10</f>
        <v>0</v>
      </c>
      <c r="AG71" s="507">
        <f>AG63*地域経済性分析・初期条件!$K$10</f>
        <v>0</v>
      </c>
      <c r="AH71" s="507">
        <f>AH63*地域経済性分析・初期条件!$K$10</f>
        <v>0</v>
      </c>
      <c r="AI71" s="548">
        <f t="shared" si="30"/>
        <v>0</v>
      </c>
      <c r="AJ71" s="548">
        <f t="shared" si="31"/>
        <v>0</v>
      </c>
      <c r="AK71" s="510">
        <f t="shared" si="32"/>
        <v>0</v>
      </c>
    </row>
    <row r="72" spans="1:37" ht="11.5" x14ac:dyDescent="0.25">
      <c r="A72" s="546"/>
      <c r="B72" s="452" t="s">
        <v>344</v>
      </c>
      <c r="C72" s="465" t="s">
        <v>37</v>
      </c>
      <c r="D72" s="507">
        <f>D63*地域経済性分析・初期条件!$L$10</f>
        <v>0</v>
      </c>
      <c r="E72" s="507">
        <f>E63*地域経済性分析・初期条件!$L$10</f>
        <v>0</v>
      </c>
      <c r="F72" s="507">
        <f>F63*地域経済性分析・初期条件!$L$10</f>
        <v>0</v>
      </c>
      <c r="G72" s="507">
        <f>G63*地域経済性分析・初期条件!$L$10</f>
        <v>0</v>
      </c>
      <c r="H72" s="507">
        <f>H63*地域経済性分析・初期条件!$L$10</f>
        <v>0</v>
      </c>
      <c r="I72" s="507">
        <f>I63*地域経済性分析・初期条件!$L$10</f>
        <v>0</v>
      </c>
      <c r="J72" s="507">
        <f>J63*地域経済性分析・初期条件!$L$10</f>
        <v>0</v>
      </c>
      <c r="K72" s="507">
        <f>K63*地域経済性分析・初期条件!$L$10</f>
        <v>0</v>
      </c>
      <c r="L72" s="507">
        <f>L63*地域経済性分析・初期条件!$L$10</f>
        <v>0</v>
      </c>
      <c r="M72" s="507">
        <f>M63*地域経済性分析・初期条件!$L$10</f>
        <v>0</v>
      </c>
      <c r="N72" s="507">
        <f>N63*地域経済性分析・初期条件!$L$10</f>
        <v>0</v>
      </c>
      <c r="O72" s="507">
        <f>O63*地域経済性分析・初期条件!$L$10</f>
        <v>0</v>
      </c>
      <c r="P72" s="507">
        <f>P63*地域経済性分析・初期条件!$L$10</f>
        <v>0</v>
      </c>
      <c r="Q72" s="507">
        <f>Q63*地域経済性分析・初期条件!$L$10</f>
        <v>0</v>
      </c>
      <c r="R72" s="507">
        <f>R63*地域経済性分析・初期条件!$L$10</f>
        <v>0</v>
      </c>
      <c r="S72" s="507">
        <f>S63*地域経済性分析・初期条件!$L$10</f>
        <v>0</v>
      </c>
      <c r="T72" s="507">
        <f>T63*地域経済性分析・初期条件!$L$10</f>
        <v>0</v>
      </c>
      <c r="U72" s="507">
        <f>U63*地域経済性分析・初期条件!$L$10</f>
        <v>0</v>
      </c>
      <c r="V72" s="507">
        <f>V63*地域経済性分析・初期条件!$L$10</f>
        <v>0</v>
      </c>
      <c r="W72" s="507">
        <f>W63*地域経済性分析・初期条件!$L$10</f>
        <v>0</v>
      </c>
      <c r="X72" s="507">
        <f>X63*地域経済性分析・初期条件!$L$10</f>
        <v>0</v>
      </c>
      <c r="Y72" s="507">
        <f>Y63*地域経済性分析・初期条件!$L$10</f>
        <v>0</v>
      </c>
      <c r="Z72" s="507">
        <f>Z63*地域経済性分析・初期条件!$L$10</f>
        <v>0</v>
      </c>
      <c r="AA72" s="507">
        <f>AA63*地域経済性分析・初期条件!$L$10</f>
        <v>0</v>
      </c>
      <c r="AB72" s="507">
        <f>AB63*地域経済性分析・初期条件!$L$10</f>
        <v>0</v>
      </c>
      <c r="AC72" s="507">
        <f>AC63*地域経済性分析・初期条件!$L$10</f>
        <v>0</v>
      </c>
      <c r="AD72" s="507">
        <f>AD63*地域経済性分析・初期条件!$L$10</f>
        <v>0</v>
      </c>
      <c r="AE72" s="507">
        <f>AE63*地域経済性分析・初期条件!$L$10</f>
        <v>0</v>
      </c>
      <c r="AF72" s="507">
        <f>AF63*地域経済性分析・初期条件!$L$10</f>
        <v>0</v>
      </c>
      <c r="AG72" s="507">
        <f>AG63*地域経済性分析・初期条件!$L$10</f>
        <v>0</v>
      </c>
      <c r="AH72" s="507">
        <f>AH63*地域経済性分析・初期条件!$L$10</f>
        <v>0</v>
      </c>
      <c r="AI72" s="548">
        <f>SUM(D72:N72)</f>
        <v>0</v>
      </c>
      <c r="AJ72" s="548">
        <f t="shared" si="31"/>
        <v>0</v>
      </c>
      <c r="AK72" s="510">
        <f t="shared" si="32"/>
        <v>0</v>
      </c>
    </row>
    <row r="73" spans="1:37" ht="11.5" x14ac:dyDescent="0.25">
      <c r="A73" s="546"/>
      <c r="B73" s="452" t="s">
        <v>345</v>
      </c>
      <c r="C73" s="465" t="s">
        <v>37</v>
      </c>
      <c r="D73" s="507">
        <f>D63*地域経済性分析・初期条件!$M$10</f>
        <v>0</v>
      </c>
      <c r="E73" s="507">
        <f>E63*地域経済性分析・初期条件!$M$10</f>
        <v>0</v>
      </c>
      <c r="F73" s="507">
        <f>F63*地域経済性分析・初期条件!$M$10</f>
        <v>0</v>
      </c>
      <c r="G73" s="507">
        <f>G63*地域経済性分析・初期条件!$M$10</f>
        <v>0</v>
      </c>
      <c r="H73" s="507">
        <f>H63*地域経済性分析・初期条件!$M$10</f>
        <v>0</v>
      </c>
      <c r="I73" s="507">
        <f>I63*地域経済性分析・初期条件!$M$10</f>
        <v>0</v>
      </c>
      <c r="J73" s="507">
        <f>J63*地域経済性分析・初期条件!$M$10</f>
        <v>0</v>
      </c>
      <c r="K73" s="507">
        <f>K63*地域経済性分析・初期条件!$M$10</f>
        <v>0</v>
      </c>
      <c r="L73" s="507">
        <f>L63*地域経済性分析・初期条件!$M$10</f>
        <v>0</v>
      </c>
      <c r="M73" s="507">
        <f>M63*地域経済性分析・初期条件!$M$10</f>
        <v>0</v>
      </c>
      <c r="N73" s="507">
        <f>N63*地域経済性分析・初期条件!$M$10</f>
        <v>0</v>
      </c>
      <c r="O73" s="507">
        <f>O63*地域経済性分析・初期条件!$M$10</f>
        <v>0</v>
      </c>
      <c r="P73" s="507">
        <f>P63*地域経済性分析・初期条件!$M$10</f>
        <v>0</v>
      </c>
      <c r="Q73" s="507">
        <f>Q63*地域経済性分析・初期条件!$M$10</f>
        <v>0</v>
      </c>
      <c r="R73" s="507">
        <f>R63*地域経済性分析・初期条件!$M$10</f>
        <v>0</v>
      </c>
      <c r="S73" s="507">
        <f>S63*地域経済性分析・初期条件!$M$10</f>
        <v>0</v>
      </c>
      <c r="T73" s="507">
        <f>T63*地域経済性分析・初期条件!$M$10</f>
        <v>0</v>
      </c>
      <c r="U73" s="507">
        <f>U63*地域経済性分析・初期条件!$M$10</f>
        <v>0</v>
      </c>
      <c r="V73" s="507">
        <f>V63*地域経済性分析・初期条件!$M$10</f>
        <v>0</v>
      </c>
      <c r="W73" s="507">
        <f>W63*地域経済性分析・初期条件!$M$10</f>
        <v>0</v>
      </c>
      <c r="X73" s="507">
        <f>X63*地域経済性分析・初期条件!$M$10</f>
        <v>0</v>
      </c>
      <c r="Y73" s="507">
        <f>Y63*地域経済性分析・初期条件!$M$10</f>
        <v>0</v>
      </c>
      <c r="Z73" s="507">
        <f>Z63*地域経済性分析・初期条件!$M$10</f>
        <v>0</v>
      </c>
      <c r="AA73" s="507">
        <f>AA63*地域経済性分析・初期条件!$M$10</f>
        <v>0</v>
      </c>
      <c r="AB73" s="507">
        <f>AB63*地域経済性分析・初期条件!$M$10</f>
        <v>0</v>
      </c>
      <c r="AC73" s="507">
        <f>AC63*地域経済性分析・初期条件!$M$10</f>
        <v>0</v>
      </c>
      <c r="AD73" s="507">
        <f>AD63*地域経済性分析・初期条件!$M$10</f>
        <v>0</v>
      </c>
      <c r="AE73" s="507">
        <f>AE63*地域経済性分析・初期条件!$M$10</f>
        <v>0</v>
      </c>
      <c r="AF73" s="507">
        <f>AF63*地域経済性分析・初期条件!$M$10</f>
        <v>0</v>
      </c>
      <c r="AG73" s="507">
        <f>AG63*地域経済性分析・初期条件!$M$10</f>
        <v>0</v>
      </c>
      <c r="AH73" s="507">
        <f>AH63*地域経済性分析・初期条件!$M$10</f>
        <v>0</v>
      </c>
      <c r="AI73" s="548">
        <f>SUM(D73:N73)</f>
        <v>0</v>
      </c>
      <c r="AJ73" s="548">
        <f t="shared" si="31"/>
        <v>0</v>
      </c>
      <c r="AK73" s="510">
        <f t="shared" si="32"/>
        <v>0</v>
      </c>
    </row>
    <row r="74" spans="1:37" ht="11.5" x14ac:dyDescent="0.25">
      <c r="A74" s="546"/>
      <c r="B74" s="452" t="s">
        <v>346</v>
      </c>
      <c r="C74" s="465" t="s">
        <v>37</v>
      </c>
      <c r="D74" s="507">
        <f>D63*地域経済性分析・初期条件!$N$10</f>
        <v>0</v>
      </c>
      <c r="E74" s="507">
        <f>E63*地域経済性分析・初期条件!$N$10</f>
        <v>0</v>
      </c>
      <c r="F74" s="507">
        <f>F63*地域経済性分析・初期条件!$N$10</f>
        <v>0</v>
      </c>
      <c r="G74" s="507">
        <f>G63*地域経済性分析・初期条件!$N$10</f>
        <v>0</v>
      </c>
      <c r="H74" s="507">
        <f>H63*地域経済性分析・初期条件!$N$10</f>
        <v>0</v>
      </c>
      <c r="I74" s="507">
        <f>I63*地域経済性分析・初期条件!$N$10</f>
        <v>0</v>
      </c>
      <c r="J74" s="507">
        <f>J63*地域経済性分析・初期条件!$N$10</f>
        <v>0</v>
      </c>
      <c r="K74" s="507">
        <f>K63*地域経済性分析・初期条件!$N$10</f>
        <v>0</v>
      </c>
      <c r="L74" s="507">
        <f>L63*地域経済性分析・初期条件!$N$10</f>
        <v>0</v>
      </c>
      <c r="M74" s="507">
        <f>M63*地域経済性分析・初期条件!$N$10</f>
        <v>0</v>
      </c>
      <c r="N74" s="507">
        <f>N63*地域経済性分析・初期条件!$N$10</f>
        <v>0</v>
      </c>
      <c r="O74" s="507">
        <f>O63*地域経済性分析・初期条件!$N$10</f>
        <v>0</v>
      </c>
      <c r="P74" s="507">
        <f>P63*地域経済性分析・初期条件!$N$10</f>
        <v>0</v>
      </c>
      <c r="Q74" s="507">
        <f>Q63*地域経済性分析・初期条件!$N$10</f>
        <v>0</v>
      </c>
      <c r="R74" s="507">
        <f>R63*地域経済性分析・初期条件!$N$10</f>
        <v>0</v>
      </c>
      <c r="S74" s="507">
        <f>S63*地域経済性分析・初期条件!$N$10</f>
        <v>0</v>
      </c>
      <c r="T74" s="507">
        <f>T63*地域経済性分析・初期条件!$N$10</f>
        <v>0</v>
      </c>
      <c r="U74" s="507">
        <f>U63*地域経済性分析・初期条件!$N$10</f>
        <v>0</v>
      </c>
      <c r="V74" s="507">
        <f>V63*地域経済性分析・初期条件!$N$10</f>
        <v>0</v>
      </c>
      <c r="W74" s="507">
        <f>W63*地域経済性分析・初期条件!$N$10</f>
        <v>0</v>
      </c>
      <c r="X74" s="507">
        <f>X63*地域経済性分析・初期条件!$N$10</f>
        <v>0</v>
      </c>
      <c r="Y74" s="507">
        <f>Y63*地域経済性分析・初期条件!$N$10</f>
        <v>0</v>
      </c>
      <c r="Z74" s="507">
        <f>Z63*地域経済性分析・初期条件!$N$10</f>
        <v>0</v>
      </c>
      <c r="AA74" s="507">
        <f>AA63*地域経済性分析・初期条件!$N$10</f>
        <v>0</v>
      </c>
      <c r="AB74" s="507">
        <f>AB63*地域経済性分析・初期条件!$N$10</f>
        <v>0</v>
      </c>
      <c r="AC74" s="507">
        <f>AC63*地域経済性分析・初期条件!$N$10</f>
        <v>0</v>
      </c>
      <c r="AD74" s="507">
        <f>AD63*地域経済性分析・初期条件!$N$10</f>
        <v>0</v>
      </c>
      <c r="AE74" s="507">
        <f>AE63*地域経済性分析・初期条件!$N$10</f>
        <v>0</v>
      </c>
      <c r="AF74" s="507">
        <f>AF63*地域経済性分析・初期条件!$N$10</f>
        <v>0</v>
      </c>
      <c r="AG74" s="507">
        <f>AG63*地域経済性分析・初期条件!$N$10</f>
        <v>0</v>
      </c>
      <c r="AH74" s="507">
        <f>AH63*地域経済性分析・初期条件!$N$10</f>
        <v>0</v>
      </c>
      <c r="AI74" s="548">
        <f>SUM(D74:N74)</f>
        <v>0</v>
      </c>
      <c r="AJ74" s="548">
        <f t="shared" si="31"/>
        <v>0</v>
      </c>
      <c r="AK74" s="510">
        <f t="shared" si="32"/>
        <v>0</v>
      </c>
    </row>
    <row r="75" spans="1:37" ht="11.5" x14ac:dyDescent="0.25">
      <c r="A75" s="546"/>
      <c r="B75" s="452" t="s">
        <v>347</v>
      </c>
      <c r="C75" s="465" t="s">
        <v>37</v>
      </c>
      <c r="D75" s="507">
        <f>D63*地域経済性分析・初期条件!$O$10</f>
        <v>0</v>
      </c>
      <c r="E75" s="507">
        <f>E63*地域経済性分析・初期条件!$O$10</f>
        <v>0</v>
      </c>
      <c r="F75" s="507">
        <f>F63*地域経済性分析・初期条件!$O$10</f>
        <v>0</v>
      </c>
      <c r="G75" s="507">
        <f>G63*地域経済性分析・初期条件!$O$10</f>
        <v>0</v>
      </c>
      <c r="H75" s="507">
        <f>H63*地域経済性分析・初期条件!$O$10</f>
        <v>0</v>
      </c>
      <c r="I75" s="507">
        <f>I63*地域経済性分析・初期条件!$O$10</f>
        <v>0</v>
      </c>
      <c r="J75" s="507">
        <f>J63*地域経済性分析・初期条件!$O$10</f>
        <v>0</v>
      </c>
      <c r="K75" s="507">
        <f>K63*地域経済性分析・初期条件!$O$10</f>
        <v>0</v>
      </c>
      <c r="L75" s="507">
        <f>L63*地域経済性分析・初期条件!$O$10</f>
        <v>0</v>
      </c>
      <c r="M75" s="507">
        <f>M63*地域経済性分析・初期条件!$O$10</f>
        <v>0</v>
      </c>
      <c r="N75" s="507">
        <f>N63*地域経済性分析・初期条件!$O$10</f>
        <v>0</v>
      </c>
      <c r="O75" s="507">
        <f>O63*地域経済性分析・初期条件!$O$10</f>
        <v>0</v>
      </c>
      <c r="P75" s="507">
        <f>P63*地域経済性分析・初期条件!$O$10</f>
        <v>0</v>
      </c>
      <c r="Q75" s="507">
        <f>Q63*地域経済性分析・初期条件!$O$10</f>
        <v>0</v>
      </c>
      <c r="R75" s="507">
        <f>R63*地域経済性分析・初期条件!$O$10</f>
        <v>0</v>
      </c>
      <c r="S75" s="507">
        <f>S63*地域経済性分析・初期条件!$O$10</f>
        <v>0</v>
      </c>
      <c r="T75" s="507">
        <f>T63*地域経済性分析・初期条件!$O$10</f>
        <v>0</v>
      </c>
      <c r="U75" s="507">
        <f>U63*地域経済性分析・初期条件!$O$10</f>
        <v>0</v>
      </c>
      <c r="V75" s="507">
        <f>V63*地域経済性分析・初期条件!$O$10</f>
        <v>0</v>
      </c>
      <c r="W75" s="507">
        <f>W63*地域経済性分析・初期条件!$O$10</f>
        <v>0</v>
      </c>
      <c r="X75" s="507">
        <f>X63*地域経済性分析・初期条件!$O$10</f>
        <v>0</v>
      </c>
      <c r="Y75" s="507">
        <f>Y63*地域経済性分析・初期条件!$O$10</f>
        <v>0</v>
      </c>
      <c r="Z75" s="507">
        <f>Z63*地域経済性分析・初期条件!$O$10</f>
        <v>0</v>
      </c>
      <c r="AA75" s="507">
        <f>AA63*地域経済性分析・初期条件!$O$10</f>
        <v>0</v>
      </c>
      <c r="AB75" s="507">
        <f>AB63*地域経済性分析・初期条件!$O$10</f>
        <v>0</v>
      </c>
      <c r="AC75" s="507">
        <f>AC63*地域経済性分析・初期条件!$O$10</f>
        <v>0</v>
      </c>
      <c r="AD75" s="507">
        <f>AD63*地域経済性分析・初期条件!$O$10</f>
        <v>0</v>
      </c>
      <c r="AE75" s="507">
        <f>AE63*地域経済性分析・初期条件!$O$10</f>
        <v>0</v>
      </c>
      <c r="AF75" s="507">
        <f>AF63*地域経済性分析・初期条件!$O$10</f>
        <v>0</v>
      </c>
      <c r="AG75" s="507">
        <f>AG63*地域経済性分析・初期条件!$O$10</f>
        <v>0</v>
      </c>
      <c r="AH75" s="507">
        <f>AH63*地域経済性分析・初期条件!$O$10</f>
        <v>0</v>
      </c>
      <c r="AI75" s="548">
        <f>SUM(D75:N75)</f>
        <v>0</v>
      </c>
      <c r="AJ75" s="548">
        <f t="shared" si="31"/>
        <v>0</v>
      </c>
      <c r="AK75" s="510">
        <f t="shared" si="32"/>
        <v>0</v>
      </c>
    </row>
    <row r="76" spans="1:37" ht="11.5" x14ac:dyDescent="0.25">
      <c r="A76" s="502">
        <f>地域経済性分析・初期条件!G11</f>
        <v>0</v>
      </c>
      <c r="C76" s="465"/>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48"/>
      <c r="AJ76" s="548"/>
      <c r="AK76" s="510"/>
    </row>
    <row r="77" spans="1:37" ht="11.5" x14ac:dyDescent="0.25">
      <c r="A77" s="546" t="str">
        <f>A76&amp;B77</f>
        <v>0売上（税別）</v>
      </c>
      <c r="B77" s="452" t="s">
        <v>1047</v>
      </c>
      <c r="C77" s="464" t="s">
        <v>37</v>
      </c>
      <c r="D77" s="507">
        <f>D47*地域経済性分析・初期条件!$F$11</f>
        <v>0</v>
      </c>
      <c r="E77" s="507">
        <f>E47*地域経済性分析・初期条件!$F$11</f>
        <v>0</v>
      </c>
      <c r="F77" s="507">
        <f>F47*地域経済性分析・初期条件!$F$11</f>
        <v>0</v>
      </c>
      <c r="G77" s="507">
        <f>G47*地域経済性分析・初期条件!$F$11</f>
        <v>0</v>
      </c>
      <c r="H77" s="507">
        <f>H47*地域経済性分析・初期条件!$F$11</f>
        <v>0</v>
      </c>
      <c r="I77" s="507">
        <f>I47*地域経済性分析・初期条件!$F$11</f>
        <v>0</v>
      </c>
      <c r="J77" s="507">
        <f>J47*地域経済性分析・初期条件!$F$11</f>
        <v>0</v>
      </c>
      <c r="K77" s="507">
        <f>K47*地域経済性分析・初期条件!$F$11</f>
        <v>0</v>
      </c>
      <c r="L77" s="507">
        <f>L47*地域経済性分析・初期条件!$F$11</f>
        <v>0</v>
      </c>
      <c r="M77" s="507">
        <f>M47*地域経済性分析・初期条件!$F$11</f>
        <v>0</v>
      </c>
      <c r="N77" s="507">
        <f>N47*地域経済性分析・初期条件!$F$11</f>
        <v>0</v>
      </c>
      <c r="O77" s="507">
        <f>O47*地域経済性分析・初期条件!$F$11</f>
        <v>0</v>
      </c>
      <c r="P77" s="507">
        <f>P47*地域経済性分析・初期条件!$F$11</f>
        <v>0</v>
      </c>
      <c r="Q77" s="507">
        <f>Q47*地域経済性分析・初期条件!$F$11</f>
        <v>0</v>
      </c>
      <c r="R77" s="507">
        <f>R47*地域経済性分析・初期条件!$F$11</f>
        <v>0</v>
      </c>
      <c r="S77" s="507">
        <f>S47*地域経済性分析・初期条件!$F$11</f>
        <v>0</v>
      </c>
      <c r="T77" s="507">
        <f>T47*地域経済性分析・初期条件!$F$11</f>
        <v>0</v>
      </c>
      <c r="U77" s="507">
        <f>U47*地域経済性分析・初期条件!$F$11</f>
        <v>0</v>
      </c>
      <c r="V77" s="507">
        <f>V47*地域経済性分析・初期条件!$F$11</f>
        <v>0</v>
      </c>
      <c r="W77" s="507">
        <f>W47*地域経済性分析・初期条件!$F$11</f>
        <v>0</v>
      </c>
      <c r="X77" s="507">
        <f>X47*地域経済性分析・初期条件!$F$11</f>
        <v>0</v>
      </c>
      <c r="Y77" s="507">
        <f>Y47*地域経済性分析・初期条件!$F$11</f>
        <v>0</v>
      </c>
      <c r="Z77" s="507">
        <f>Z47*地域経済性分析・初期条件!$F$11</f>
        <v>0</v>
      </c>
      <c r="AA77" s="507">
        <f>AA47*地域経済性分析・初期条件!$F$11</f>
        <v>0</v>
      </c>
      <c r="AB77" s="507">
        <f>AB47*地域経済性分析・初期条件!$F$11</f>
        <v>0</v>
      </c>
      <c r="AC77" s="507">
        <f>AC47*地域経済性分析・初期条件!$F$11</f>
        <v>0</v>
      </c>
      <c r="AD77" s="507">
        <f>AD47*地域経済性分析・初期条件!$F$11</f>
        <v>0</v>
      </c>
      <c r="AE77" s="507">
        <f>AE47*地域経済性分析・初期条件!$F$11</f>
        <v>0</v>
      </c>
      <c r="AF77" s="507">
        <f>AF47*地域経済性分析・初期条件!$F$11</f>
        <v>0</v>
      </c>
      <c r="AG77" s="507">
        <f>AG47*地域経済性分析・初期条件!$F$11</f>
        <v>0</v>
      </c>
      <c r="AH77" s="507">
        <f>AH47*地域経済性分析・初期条件!$F$11</f>
        <v>0</v>
      </c>
      <c r="AI77" s="548">
        <f t="shared" ref="AI77:AI85" si="33">SUM(D77:N77)</f>
        <v>0</v>
      </c>
      <c r="AJ77" s="548">
        <f>SUM(D77:X77)</f>
        <v>0</v>
      </c>
      <c r="AK77" s="510">
        <f>SUM(D77:AH77)</f>
        <v>0</v>
      </c>
    </row>
    <row r="78" spans="1:37" ht="11.5" x14ac:dyDescent="0.25">
      <c r="A78" s="546"/>
      <c r="B78" s="452" t="s">
        <v>263</v>
      </c>
      <c r="C78" s="464" t="s">
        <v>37</v>
      </c>
      <c r="D78" s="507">
        <f>D77*波及効果シート!$D$72</f>
        <v>0</v>
      </c>
      <c r="E78" s="507">
        <f>E77*波及効果シート!$D$72</f>
        <v>0</v>
      </c>
      <c r="F78" s="507">
        <f>F77*波及効果シート!$D$72</f>
        <v>0</v>
      </c>
      <c r="G78" s="507">
        <f>G77*波及効果シート!$D$72</f>
        <v>0</v>
      </c>
      <c r="H78" s="507">
        <f>H77*波及効果シート!$D$72</f>
        <v>0</v>
      </c>
      <c r="I78" s="507">
        <f>I77*波及効果シート!$D$72</f>
        <v>0</v>
      </c>
      <c r="J78" s="507">
        <f>J77*波及効果シート!$D$72</f>
        <v>0</v>
      </c>
      <c r="K78" s="507">
        <f>K77*波及効果シート!$D$72</f>
        <v>0</v>
      </c>
      <c r="L78" s="507">
        <f>L77*波及効果シート!$D$72</f>
        <v>0</v>
      </c>
      <c r="M78" s="507">
        <f>M77*波及効果シート!$D$72</f>
        <v>0</v>
      </c>
      <c r="N78" s="507">
        <f>N77*波及効果シート!$D$72</f>
        <v>0</v>
      </c>
      <c r="O78" s="507">
        <f>O77*波及効果シート!$D$72</f>
        <v>0</v>
      </c>
      <c r="P78" s="507">
        <f>P77*波及効果シート!$D$72</f>
        <v>0</v>
      </c>
      <c r="Q78" s="507">
        <f>Q77*波及効果シート!$D$72</f>
        <v>0</v>
      </c>
      <c r="R78" s="507">
        <f>R77*波及効果シート!$D$72</f>
        <v>0</v>
      </c>
      <c r="S78" s="507">
        <f>S77*波及効果シート!$D$72</f>
        <v>0</v>
      </c>
      <c r="T78" s="507">
        <f>T77*波及効果シート!$D$72</f>
        <v>0</v>
      </c>
      <c r="U78" s="507">
        <f>U77*波及効果シート!$D$72</f>
        <v>0</v>
      </c>
      <c r="V78" s="507">
        <f>V77*波及効果シート!$D$72</f>
        <v>0</v>
      </c>
      <c r="W78" s="507">
        <f>W77*波及効果シート!$D$72</f>
        <v>0</v>
      </c>
      <c r="X78" s="507">
        <f>X77*波及効果シート!$D$72</f>
        <v>0</v>
      </c>
      <c r="Y78" s="507">
        <f>Y77*波及効果シート!$D$72</f>
        <v>0</v>
      </c>
      <c r="Z78" s="507">
        <f>Z77*波及効果シート!$D$72</f>
        <v>0</v>
      </c>
      <c r="AA78" s="507">
        <f>AA77*波及効果シート!$D$72</f>
        <v>0</v>
      </c>
      <c r="AB78" s="507">
        <f>AB77*波及効果シート!$D$72</f>
        <v>0</v>
      </c>
      <c r="AC78" s="507">
        <f>AC77*波及効果シート!$D$72</f>
        <v>0</v>
      </c>
      <c r="AD78" s="507">
        <f>AD77*波及効果シート!$D$72</f>
        <v>0</v>
      </c>
      <c r="AE78" s="507">
        <f>AE77*波及効果シート!$D$72</f>
        <v>0</v>
      </c>
      <c r="AF78" s="507">
        <f>AF77*波及効果シート!$D$72</f>
        <v>0</v>
      </c>
      <c r="AG78" s="507">
        <f>AG77*波及効果シート!$D$72</f>
        <v>0</v>
      </c>
      <c r="AH78" s="507">
        <f>AH77*波及効果シート!$D$72</f>
        <v>0</v>
      </c>
      <c r="AI78" s="548">
        <f t="shared" si="33"/>
        <v>0</v>
      </c>
      <c r="AJ78" s="548">
        <f>SUM(D78:X78)</f>
        <v>0</v>
      </c>
      <c r="AK78" s="510">
        <f>SUM(D78:AH78)</f>
        <v>0</v>
      </c>
    </row>
    <row r="79" spans="1:37" ht="11.5" x14ac:dyDescent="0.25">
      <c r="A79" s="546"/>
      <c r="B79" s="452" t="s">
        <v>1048</v>
      </c>
      <c r="C79" s="465" t="s">
        <v>37</v>
      </c>
      <c r="D79" s="507">
        <f>D77*波及効果シート!$D$74</f>
        <v>0</v>
      </c>
      <c r="E79" s="507">
        <f>E77*波及効果シート!$D$74</f>
        <v>0</v>
      </c>
      <c r="F79" s="507">
        <f>F77*波及効果シート!$D$74</f>
        <v>0</v>
      </c>
      <c r="G79" s="507">
        <f>G77*波及効果シート!$D$74</f>
        <v>0</v>
      </c>
      <c r="H79" s="507">
        <f>H77*波及効果シート!$D$74</f>
        <v>0</v>
      </c>
      <c r="I79" s="507">
        <f>I77*波及効果シート!$D$74</f>
        <v>0</v>
      </c>
      <c r="J79" s="507">
        <f>J77*波及効果シート!$D$74</f>
        <v>0</v>
      </c>
      <c r="K79" s="507">
        <f>K77*波及効果シート!$D$74</f>
        <v>0</v>
      </c>
      <c r="L79" s="507">
        <f>L77*波及効果シート!$D$74</f>
        <v>0</v>
      </c>
      <c r="M79" s="507">
        <f>M77*波及効果シート!$D$74</f>
        <v>0</v>
      </c>
      <c r="N79" s="507">
        <f>N77*波及効果シート!$D$74</f>
        <v>0</v>
      </c>
      <c r="O79" s="507">
        <f>O77*波及効果シート!$D$74</f>
        <v>0</v>
      </c>
      <c r="P79" s="507">
        <f>P77*波及効果シート!$D$74</f>
        <v>0</v>
      </c>
      <c r="Q79" s="507">
        <f>Q77*波及効果シート!$D$74</f>
        <v>0</v>
      </c>
      <c r="R79" s="507">
        <f>R77*波及効果シート!$D$74</f>
        <v>0</v>
      </c>
      <c r="S79" s="507">
        <f>S77*波及効果シート!$D$74</f>
        <v>0</v>
      </c>
      <c r="T79" s="507">
        <f>T77*波及効果シート!$D$74</f>
        <v>0</v>
      </c>
      <c r="U79" s="507">
        <f>U77*波及効果シート!$D$74</f>
        <v>0</v>
      </c>
      <c r="V79" s="507">
        <f>V77*波及効果シート!$D$74</f>
        <v>0</v>
      </c>
      <c r="W79" s="507">
        <f>W77*波及効果シート!$D$74</f>
        <v>0</v>
      </c>
      <c r="X79" s="507">
        <f>X77*波及効果シート!$D$74</f>
        <v>0</v>
      </c>
      <c r="Y79" s="507">
        <f>Y77*波及効果シート!$D$74</f>
        <v>0</v>
      </c>
      <c r="Z79" s="507">
        <f>Z77*波及効果シート!$D$74</f>
        <v>0</v>
      </c>
      <c r="AA79" s="507">
        <f>AA77*波及効果シート!$D$74</f>
        <v>0</v>
      </c>
      <c r="AB79" s="507">
        <f>AB77*波及効果シート!$D$74</f>
        <v>0</v>
      </c>
      <c r="AC79" s="507">
        <f>AC77*波及効果シート!$D$74</f>
        <v>0</v>
      </c>
      <c r="AD79" s="507">
        <f>AD77*波及効果シート!$D$74</f>
        <v>0</v>
      </c>
      <c r="AE79" s="507">
        <f>AE77*波及効果シート!$D$74</f>
        <v>0</v>
      </c>
      <c r="AF79" s="507">
        <f>AF77*波及効果シート!$D$74</f>
        <v>0</v>
      </c>
      <c r="AG79" s="507">
        <f>AG77*波及効果シート!$D$74</f>
        <v>0</v>
      </c>
      <c r="AH79" s="507">
        <f>AH77*波及効果シート!$D$74</f>
        <v>0</v>
      </c>
      <c r="AI79" s="548">
        <f t="shared" si="33"/>
        <v>0</v>
      </c>
      <c r="AJ79" s="548">
        <f>SUM(D79:X79)</f>
        <v>0</v>
      </c>
      <c r="AK79" s="510">
        <f>SUM(D79:AH79)</f>
        <v>0</v>
      </c>
    </row>
    <row r="80" spans="1:37" ht="11.5" x14ac:dyDescent="0.25">
      <c r="A80" s="546"/>
      <c r="B80" s="452" t="s">
        <v>356</v>
      </c>
      <c r="C80" s="465" t="s">
        <v>37</v>
      </c>
      <c r="D80" s="507">
        <f>D77*地域経済性分析・初期条件!$P$11</f>
        <v>0</v>
      </c>
      <c r="E80" s="507">
        <f>E77*地域経済性分析・初期条件!$P$11</f>
        <v>0</v>
      </c>
      <c r="F80" s="507">
        <f>F77*地域経済性分析・初期条件!$P$11</f>
        <v>0</v>
      </c>
      <c r="G80" s="507">
        <f>G77*地域経済性分析・初期条件!$P$11</f>
        <v>0</v>
      </c>
      <c r="H80" s="507">
        <f>H77*地域経済性分析・初期条件!$P$11</f>
        <v>0</v>
      </c>
      <c r="I80" s="507">
        <f>I77*地域経済性分析・初期条件!$P$11</f>
        <v>0</v>
      </c>
      <c r="J80" s="507">
        <f>J77*地域経済性分析・初期条件!$P$11</f>
        <v>0</v>
      </c>
      <c r="K80" s="507">
        <f>K77*地域経済性分析・初期条件!$P$11</f>
        <v>0</v>
      </c>
      <c r="L80" s="507">
        <f>L77*地域経済性分析・初期条件!$P$11</f>
        <v>0</v>
      </c>
      <c r="M80" s="507">
        <f>M77*地域経済性分析・初期条件!$P$11</f>
        <v>0</v>
      </c>
      <c r="N80" s="507">
        <f>N77*地域経済性分析・初期条件!$P$11</f>
        <v>0</v>
      </c>
      <c r="O80" s="507">
        <f>O77*地域経済性分析・初期条件!$P$11</f>
        <v>0</v>
      </c>
      <c r="P80" s="507">
        <f>P77*地域経済性分析・初期条件!$P$11</f>
        <v>0</v>
      </c>
      <c r="Q80" s="507">
        <f>Q77*地域経済性分析・初期条件!$P$11</f>
        <v>0</v>
      </c>
      <c r="R80" s="507">
        <f>R77*地域経済性分析・初期条件!$P$11</f>
        <v>0</v>
      </c>
      <c r="S80" s="507">
        <f>S77*地域経済性分析・初期条件!$P$11</f>
        <v>0</v>
      </c>
      <c r="T80" s="507">
        <f>T77*地域経済性分析・初期条件!$P$11</f>
        <v>0</v>
      </c>
      <c r="U80" s="507">
        <f>U77*地域経済性分析・初期条件!$P$11</f>
        <v>0</v>
      </c>
      <c r="V80" s="507">
        <f>V77*地域経済性分析・初期条件!$P$11</f>
        <v>0</v>
      </c>
      <c r="W80" s="507">
        <f>W77*地域経済性分析・初期条件!$P$11</f>
        <v>0</v>
      </c>
      <c r="X80" s="507">
        <f>X77*地域経済性分析・初期条件!$P$11</f>
        <v>0</v>
      </c>
      <c r="Y80" s="507">
        <f>Y77*地域経済性分析・初期条件!$P$11</f>
        <v>0</v>
      </c>
      <c r="Z80" s="507">
        <f>Z77*地域経済性分析・初期条件!$P$11</f>
        <v>0</v>
      </c>
      <c r="AA80" s="507">
        <f>AA77*地域経済性分析・初期条件!$P$11</f>
        <v>0</v>
      </c>
      <c r="AB80" s="507">
        <f>AB77*地域経済性分析・初期条件!$P$11</f>
        <v>0</v>
      </c>
      <c r="AC80" s="507">
        <f>AC77*地域経済性分析・初期条件!$P$11</f>
        <v>0</v>
      </c>
      <c r="AD80" s="507">
        <f>AD77*地域経済性分析・初期条件!$P$11</f>
        <v>0</v>
      </c>
      <c r="AE80" s="507">
        <f>AE77*地域経済性分析・初期条件!$P$11</f>
        <v>0</v>
      </c>
      <c r="AF80" s="507">
        <f>AF77*地域経済性分析・初期条件!$P$11</f>
        <v>0</v>
      </c>
      <c r="AG80" s="507">
        <f>AG77*地域経済性分析・初期条件!$P$11</f>
        <v>0</v>
      </c>
      <c r="AH80" s="507">
        <f>AH77*地域経済性分析・初期条件!$P$11</f>
        <v>0</v>
      </c>
      <c r="AI80" s="548">
        <f t="shared" si="33"/>
        <v>0</v>
      </c>
      <c r="AJ80" s="548">
        <f>SUM(D80:X80)</f>
        <v>0</v>
      </c>
      <c r="AK80" s="510">
        <f>SUM(D80:AH80)</f>
        <v>0</v>
      </c>
    </row>
    <row r="81" spans="1:37" ht="11.5" x14ac:dyDescent="0.25">
      <c r="A81" s="546"/>
      <c r="B81" s="452" t="s">
        <v>355</v>
      </c>
      <c r="C81" s="465" t="s">
        <v>37</v>
      </c>
      <c r="D81" s="507">
        <f>D77*地域経済性分析・初期条件!$Q$11</f>
        <v>0</v>
      </c>
      <c r="E81" s="507">
        <f>E77*地域経済性分析・初期条件!$Q$11</f>
        <v>0</v>
      </c>
      <c r="F81" s="507">
        <f>F77*地域経済性分析・初期条件!$Q$11</f>
        <v>0</v>
      </c>
      <c r="G81" s="507">
        <f>G77*地域経済性分析・初期条件!$Q$11</f>
        <v>0</v>
      </c>
      <c r="H81" s="507">
        <f>H77*地域経済性分析・初期条件!$Q$11</f>
        <v>0</v>
      </c>
      <c r="I81" s="507">
        <f>I77*地域経済性分析・初期条件!$Q$11</f>
        <v>0</v>
      </c>
      <c r="J81" s="507">
        <f>J77*地域経済性分析・初期条件!$Q$11</f>
        <v>0</v>
      </c>
      <c r="K81" s="507">
        <f>K77*地域経済性分析・初期条件!$Q$11</f>
        <v>0</v>
      </c>
      <c r="L81" s="507">
        <f>L77*地域経済性分析・初期条件!$Q$11</f>
        <v>0</v>
      </c>
      <c r="M81" s="507">
        <f>M77*地域経済性分析・初期条件!$Q$11</f>
        <v>0</v>
      </c>
      <c r="N81" s="507">
        <f>N77*地域経済性分析・初期条件!$Q$11</f>
        <v>0</v>
      </c>
      <c r="O81" s="507">
        <f>O77*地域経済性分析・初期条件!$Q$11</f>
        <v>0</v>
      </c>
      <c r="P81" s="507">
        <f>P77*地域経済性分析・初期条件!$Q$11</f>
        <v>0</v>
      </c>
      <c r="Q81" s="507">
        <f>Q77*地域経済性分析・初期条件!$Q$11</f>
        <v>0</v>
      </c>
      <c r="R81" s="507">
        <f>R77*地域経済性分析・初期条件!$Q$11</f>
        <v>0</v>
      </c>
      <c r="S81" s="507">
        <f>S77*地域経済性分析・初期条件!$Q$11</f>
        <v>0</v>
      </c>
      <c r="T81" s="507">
        <f>T77*地域経済性分析・初期条件!$Q$11</f>
        <v>0</v>
      </c>
      <c r="U81" s="507">
        <f>U77*地域経済性分析・初期条件!$Q$11</f>
        <v>0</v>
      </c>
      <c r="V81" s="507">
        <f>V77*地域経済性分析・初期条件!$Q$11</f>
        <v>0</v>
      </c>
      <c r="W81" s="507">
        <f>W77*地域経済性分析・初期条件!$Q$11</f>
        <v>0</v>
      </c>
      <c r="X81" s="507">
        <f>X77*地域経済性分析・初期条件!$Q$11</f>
        <v>0</v>
      </c>
      <c r="Y81" s="507">
        <f>Y77*地域経済性分析・初期条件!$Q$11</f>
        <v>0</v>
      </c>
      <c r="Z81" s="507">
        <f>Z77*地域経済性分析・初期条件!$Q$11</f>
        <v>0</v>
      </c>
      <c r="AA81" s="507">
        <f>AA77*地域経済性分析・初期条件!$Q$11</f>
        <v>0</v>
      </c>
      <c r="AB81" s="507">
        <f>AB77*地域経済性分析・初期条件!$Q$11</f>
        <v>0</v>
      </c>
      <c r="AC81" s="507">
        <f>AC77*地域経済性分析・初期条件!$Q$11</f>
        <v>0</v>
      </c>
      <c r="AD81" s="507">
        <f>AD77*地域経済性分析・初期条件!$Q$11</f>
        <v>0</v>
      </c>
      <c r="AE81" s="507">
        <f>AE77*地域経済性分析・初期条件!$Q$11</f>
        <v>0</v>
      </c>
      <c r="AF81" s="507">
        <f>AF77*地域経済性分析・初期条件!$Q$11</f>
        <v>0</v>
      </c>
      <c r="AG81" s="507">
        <f>AG77*地域経済性分析・初期条件!$Q$11</f>
        <v>0</v>
      </c>
      <c r="AH81" s="507">
        <f>AH77*地域経済性分析・初期条件!$Q$11</f>
        <v>0</v>
      </c>
      <c r="AI81" s="548">
        <f t="shared" si="33"/>
        <v>0</v>
      </c>
      <c r="AJ81" s="548">
        <f>SUM(D81:X81)</f>
        <v>0</v>
      </c>
      <c r="AK81" s="510">
        <f>SUM(D81:AH81)</f>
        <v>0</v>
      </c>
    </row>
    <row r="82" spans="1:37" ht="11.5" x14ac:dyDescent="0.25">
      <c r="A82" s="546" t="str">
        <f>A76&amp;B82</f>
        <v>0従業員の可処分所得（一次）</v>
      </c>
      <c r="B82" s="452" t="s">
        <v>339</v>
      </c>
      <c r="C82" s="464" t="s">
        <v>37</v>
      </c>
      <c r="D82" s="507">
        <f>D77*地域経済性分析・初期条件!$H$11</f>
        <v>0</v>
      </c>
      <c r="E82" s="507">
        <f>E77*地域経済性分析・初期条件!$H$11</f>
        <v>0</v>
      </c>
      <c r="F82" s="507">
        <f>F77*地域経済性分析・初期条件!$H$11</f>
        <v>0</v>
      </c>
      <c r="G82" s="507">
        <f>G77*地域経済性分析・初期条件!$H$11</f>
        <v>0</v>
      </c>
      <c r="H82" s="507">
        <f>H77*地域経済性分析・初期条件!$H$11</f>
        <v>0</v>
      </c>
      <c r="I82" s="507">
        <f>I77*地域経済性分析・初期条件!$H$11</f>
        <v>0</v>
      </c>
      <c r="J82" s="507">
        <f>J77*地域経済性分析・初期条件!$H$11</f>
        <v>0</v>
      </c>
      <c r="K82" s="507">
        <f>K77*地域経済性分析・初期条件!$H$11</f>
        <v>0</v>
      </c>
      <c r="L82" s="507">
        <f>L77*地域経済性分析・初期条件!$H$11</f>
        <v>0</v>
      </c>
      <c r="M82" s="507">
        <f>M77*地域経済性分析・初期条件!$H$11</f>
        <v>0</v>
      </c>
      <c r="N82" s="507">
        <f>N77*地域経済性分析・初期条件!$H$11</f>
        <v>0</v>
      </c>
      <c r="O82" s="507">
        <f>O77*地域経済性分析・初期条件!$H$11</f>
        <v>0</v>
      </c>
      <c r="P82" s="507">
        <f>P77*地域経済性分析・初期条件!$H$11</f>
        <v>0</v>
      </c>
      <c r="Q82" s="507">
        <f>Q77*地域経済性分析・初期条件!$H$11</f>
        <v>0</v>
      </c>
      <c r="R82" s="507">
        <f>R77*地域経済性分析・初期条件!$H$11</f>
        <v>0</v>
      </c>
      <c r="S82" s="507">
        <f>S77*地域経済性分析・初期条件!$H$11</f>
        <v>0</v>
      </c>
      <c r="T82" s="507">
        <f>T77*地域経済性分析・初期条件!$H$11</f>
        <v>0</v>
      </c>
      <c r="U82" s="507">
        <f>U77*地域経済性分析・初期条件!$H$11</f>
        <v>0</v>
      </c>
      <c r="V82" s="507">
        <f>V77*地域経済性分析・初期条件!$H$11</f>
        <v>0</v>
      </c>
      <c r="W82" s="507">
        <f>W77*地域経済性分析・初期条件!$H$11</f>
        <v>0</v>
      </c>
      <c r="X82" s="507">
        <f>X77*地域経済性分析・初期条件!$H$11</f>
        <v>0</v>
      </c>
      <c r="Y82" s="507">
        <f>Y77*地域経済性分析・初期条件!$H$11</f>
        <v>0</v>
      </c>
      <c r="Z82" s="507">
        <f>Z77*地域経済性分析・初期条件!$H$11</f>
        <v>0</v>
      </c>
      <c r="AA82" s="507">
        <f>AA77*地域経済性分析・初期条件!$H$11</f>
        <v>0</v>
      </c>
      <c r="AB82" s="507">
        <f>AB77*地域経済性分析・初期条件!$H$11</f>
        <v>0</v>
      </c>
      <c r="AC82" s="507">
        <f>AC77*地域経済性分析・初期条件!$H$11</f>
        <v>0</v>
      </c>
      <c r="AD82" s="507">
        <f>AD77*地域経済性分析・初期条件!$H$11</f>
        <v>0</v>
      </c>
      <c r="AE82" s="507">
        <f>AE77*地域経済性分析・初期条件!$H$11</f>
        <v>0</v>
      </c>
      <c r="AF82" s="507">
        <f>AF77*地域経済性分析・初期条件!$H$11</f>
        <v>0</v>
      </c>
      <c r="AG82" s="507">
        <f>AG77*地域経済性分析・初期条件!$H$11</f>
        <v>0</v>
      </c>
      <c r="AH82" s="507">
        <f>AH77*地域経済性分析・初期条件!$H$11</f>
        <v>0</v>
      </c>
      <c r="AI82" s="548">
        <f t="shared" si="33"/>
        <v>0</v>
      </c>
      <c r="AJ82" s="548">
        <f t="shared" ref="AJ82:AJ89" si="34">SUM(D82:X82)</f>
        <v>0</v>
      </c>
      <c r="AK82" s="510">
        <f t="shared" ref="AK82:AK89" si="35">SUM(D82:AH82)</f>
        <v>0</v>
      </c>
    </row>
    <row r="83" spans="1:37" ht="11.5" x14ac:dyDescent="0.25">
      <c r="A83" s="546" t="str">
        <f>A76&amp;B83</f>
        <v>0企業の税引後利益（一次）</v>
      </c>
      <c r="B83" s="452" t="s">
        <v>340</v>
      </c>
      <c r="C83" s="464" t="s">
        <v>37</v>
      </c>
      <c r="D83" s="507">
        <f>D77*地域経済性分析・初期条件!$I$11</f>
        <v>0</v>
      </c>
      <c r="E83" s="507">
        <f>E77*地域経済性分析・初期条件!$I$11</f>
        <v>0</v>
      </c>
      <c r="F83" s="507">
        <f>F77*地域経済性分析・初期条件!$I$11</f>
        <v>0</v>
      </c>
      <c r="G83" s="507">
        <f>G77*地域経済性分析・初期条件!$I$11</f>
        <v>0</v>
      </c>
      <c r="H83" s="507">
        <f>H77*地域経済性分析・初期条件!$I$11</f>
        <v>0</v>
      </c>
      <c r="I83" s="507">
        <f>I77*地域経済性分析・初期条件!$I$11</f>
        <v>0</v>
      </c>
      <c r="J83" s="507">
        <f>J77*地域経済性分析・初期条件!$I$11</f>
        <v>0</v>
      </c>
      <c r="K83" s="507">
        <f>K77*地域経済性分析・初期条件!$I$11</f>
        <v>0</v>
      </c>
      <c r="L83" s="507">
        <f>L77*地域経済性分析・初期条件!$I$11</f>
        <v>0</v>
      </c>
      <c r="M83" s="507">
        <f>M77*地域経済性分析・初期条件!$I$11</f>
        <v>0</v>
      </c>
      <c r="N83" s="507">
        <f>N77*地域経済性分析・初期条件!$I$11</f>
        <v>0</v>
      </c>
      <c r="O83" s="507">
        <f>O77*地域経済性分析・初期条件!$I$11</f>
        <v>0</v>
      </c>
      <c r="P83" s="507">
        <f>P77*地域経済性分析・初期条件!$I$11</f>
        <v>0</v>
      </c>
      <c r="Q83" s="507">
        <f>Q77*地域経済性分析・初期条件!$I$11</f>
        <v>0</v>
      </c>
      <c r="R83" s="507">
        <f>R77*地域経済性分析・初期条件!$I$11</f>
        <v>0</v>
      </c>
      <c r="S83" s="507">
        <f>S77*地域経済性分析・初期条件!$I$11</f>
        <v>0</v>
      </c>
      <c r="T83" s="507">
        <f>T77*地域経済性分析・初期条件!$I$11</f>
        <v>0</v>
      </c>
      <c r="U83" s="507">
        <f>U77*地域経済性分析・初期条件!$I$11</f>
        <v>0</v>
      </c>
      <c r="V83" s="507">
        <f>V77*地域経済性分析・初期条件!$I$11</f>
        <v>0</v>
      </c>
      <c r="W83" s="507">
        <f>W77*地域経済性分析・初期条件!$I$11</f>
        <v>0</v>
      </c>
      <c r="X83" s="507">
        <f>X77*地域経済性分析・初期条件!$I$11</f>
        <v>0</v>
      </c>
      <c r="Y83" s="507">
        <f>Y77*地域経済性分析・初期条件!$I$11</f>
        <v>0</v>
      </c>
      <c r="Z83" s="507">
        <f>Z77*地域経済性分析・初期条件!$I$11</f>
        <v>0</v>
      </c>
      <c r="AA83" s="507">
        <f>AA77*地域経済性分析・初期条件!$I$11</f>
        <v>0</v>
      </c>
      <c r="AB83" s="507">
        <f>AB77*地域経済性分析・初期条件!$I$11</f>
        <v>0</v>
      </c>
      <c r="AC83" s="507">
        <f>AC77*地域経済性分析・初期条件!$I$11</f>
        <v>0</v>
      </c>
      <c r="AD83" s="507">
        <f>AD77*地域経済性分析・初期条件!$I$11</f>
        <v>0</v>
      </c>
      <c r="AE83" s="507">
        <f>AE77*地域経済性分析・初期条件!$I$11</f>
        <v>0</v>
      </c>
      <c r="AF83" s="507">
        <f>AF77*地域経済性分析・初期条件!$I$11</f>
        <v>0</v>
      </c>
      <c r="AG83" s="507">
        <f>AG77*地域経済性分析・初期条件!$I$11</f>
        <v>0</v>
      </c>
      <c r="AH83" s="507">
        <f>AH77*地域経済性分析・初期条件!$I$11</f>
        <v>0</v>
      </c>
      <c r="AI83" s="548">
        <f t="shared" si="33"/>
        <v>0</v>
      </c>
      <c r="AJ83" s="548">
        <f t="shared" si="34"/>
        <v>0</v>
      </c>
      <c r="AK83" s="510">
        <f t="shared" si="35"/>
        <v>0</v>
      </c>
    </row>
    <row r="84" spans="1:37" ht="11.5" x14ac:dyDescent="0.25">
      <c r="A84" s="546" t="str">
        <f>A76&amp;B84</f>
        <v>0都道府県税収（一次）</v>
      </c>
      <c r="B84" s="452" t="s">
        <v>341</v>
      </c>
      <c r="C84" s="464" t="s">
        <v>37</v>
      </c>
      <c r="D84" s="507">
        <f>D77*地域経済性分析・初期条件!$J$11</f>
        <v>0</v>
      </c>
      <c r="E84" s="507">
        <f>E77*地域経済性分析・初期条件!$J$11</f>
        <v>0</v>
      </c>
      <c r="F84" s="507">
        <f>F77*地域経済性分析・初期条件!$J$11</f>
        <v>0</v>
      </c>
      <c r="G84" s="507">
        <f>G77*地域経済性分析・初期条件!$J$11</f>
        <v>0</v>
      </c>
      <c r="H84" s="507">
        <f>H77*地域経済性分析・初期条件!$J$11</f>
        <v>0</v>
      </c>
      <c r="I84" s="507">
        <f>I77*地域経済性分析・初期条件!$J$11</f>
        <v>0</v>
      </c>
      <c r="J84" s="507">
        <f>J77*地域経済性分析・初期条件!$J$11</f>
        <v>0</v>
      </c>
      <c r="K84" s="507">
        <f>K77*地域経済性分析・初期条件!$J$11</f>
        <v>0</v>
      </c>
      <c r="L84" s="507">
        <f>L77*地域経済性分析・初期条件!$J$11</f>
        <v>0</v>
      </c>
      <c r="M84" s="507">
        <f>M77*地域経済性分析・初期条件!$J$11</f>
        <v>0</v>
      </c>
      <c r="N84" s="507">
        <f>N77*地域経済性分析・初期条件!$J$11</f>
        <v>0</v>
      </c>
      <c r="O84" s="507">
        <f>O77*地域経済性分析・初期条件!$J$11</f>
        <v>0</v>
      </c>
      <c r="P84" s="507">
        <f>P77*地域経済性分析・初期条件!$J$11</f>
        <v>0</v>
      </c>
      <c r="Q84" s="507">
        <f>Q77*地域経済性分析・初期条件!$J$11</f>
        <v>0</v>
      </c>
      <c r="R84" s="507">
        <f>R77*地域経済性分析・初期条件!$J$11</f>
        <v>0</v>
      </c>
      <c r="S84" s="507">
        <f>S77*地域経済性分析・初期条件!$J$11</f>
        <v>0</v>
      </c>
      <c r="T84" s="507">
        <f>T77*地域経済性分析・初期条件!$J$11</f>
        <v>0</v>
      </c>
      <c r="U84" s="507">
        <f>U77*地域経済性分析・初期条件!$J$11</f>
        <v>0</v>
      </c>
      <c r="V84" s="507">
        <f>V77*地域経済性分析・初期条件!$J$11</f>
        <v>0</v>
      </c>
      <c r="W84" s="507">
        <f>W77*地域経済性分析・初期条件!$J$11</f>
        <v>0</v>
      </c>
      <c r="X84" s="507">
        <f>X77*地域経済性分析・初期条件!$J$11</f>
        <v>0</v>
      </c>
      <c r="Y84" s="507">
        <f>Y77*地域経済性分析・初期条件!$J$11</f>
        <v>0</v>
      </c>
      <c r="Z84" s="507">
        <f>Z77*地域経済性分析・初期条件!$J$11</f>
        <v>0</v>
      </c>
      <c r="AA84" s="507">
        <f>AA77*地域経済性分析・初期条件!$J$11</f>
        <v>0</v>
      </c>
      <c r="AB84" s="507">
        <f>AB77*地域経済性分析・初期条件!$J$11</f>
        <v>0</v>
      </c>
      <c r="AC84" s="507">
        <f>AC77*地域経済性分析・初期条件!$J$11</f>
        <v>0</v>
      </c>
      <c r="AD84" s="507">
        <f>AD77*地域経済性分析・初期条件!$J$11</f>
        <v>0</v>
      </c>
      <c r="AE84" s="507">
        <f>AE77*地域経済性分析・初期条件!$J$11</f>
        <v>0</v>
      </c>
      <c r="AF84" s="507">
        <f>AF77*地域経済性分析・初期条件!$J$11</f>
        <v>0</v>
      </c>
      <c r="AG84" s="507">
        <f>AG77*地域経済性分析・初期条件!$J$11</f>
        <v>0</v>
      </c>
      <c r="AH84" s="507">
        <f>AH77*地域経済性分析・初期条件!$J$11</f>
        <v>0</v>
      </c>
      <c r="AI84" s="548">
        <f t="shared" si="33"/>
        <v>0</v>
      </c>
      <c r="AJ84" s="548">
        <f t="shared" si="34"/>
        <v>0</v>
      </c>
      <c r="AK84" s="510">
        <f t="shared" si="35"/>
        <v>0</v>
      </c>
    </row>
    <row r="85" spans="1:37" ht="11.5" x14ac:dyDescent="0.25">
      <c r="A85" s="546" t="str">
        <f>A76&amp;B85</f>
        <v>0市町村税収（一次）</v>
      </c>
      <c r="B85" s="452" t="s">
        <v>342</v>
      </c>
      <c r="C85" s="465" t="s">
        <v>37</v>
      </c>
      <c r="D85" s="507">
        <f>D77*地域経済性分析・初期条件!$K$11</f>
        <v>0</v>
      </c>
      <c r="E85" s="507">
        <f>E77*地域経済性分析・初期条件!$K$11</f>
        <v>0</v>
      </c>
      <c r="F85" s="507">
        <f>F77*地域経済性分析・初期条件!$K$11</f>
        <v>0</v>
      </c>
      <c r="G85" s="507">
        <f>G77*地域経済性分析・初期条件!$K$11</f>
        <v>0</v>
      </c>
      <c r="H85" s="507">
        <f>H77*地域経済性分析・初期条件!$K$11</f>
        <v>0</v>
      </c>
      <c r="I85" s="507">
        <f>I77*地域経済性分析・初期条件!$K$11</f>
        <v>0</v>
      </c>
      <c r="J85" s="507">
        <f>J77*地域経済性分析・初期条件!$K$11</f>
        <v>0</v>
      </c>
      <c r="K85" s="507">
        <f>K77*地域経済性分析・初期条件!$K$11</f>
        <v>0</v>
      </c>
      <c r="L85" s="507">
        <f>L77*地域経済性分析・初期条件!$K$11</f>
        <v>0</v>
      </c>
      <c r="M85" s="507">
        <f>M77*地域経済性分析・初期条件!$K$11</f>
        <v>0</v>
      </c>
      <c r="N85" s="507">
        <f>N77*地域経済性分析・初期条件!$K$11</f>
        <v>0</v>
      </c>
      <c r="O85" s="507">
        <f>O77*地域経済性分析・初期条件!$K$11</f>
        <v>0</v>
      </c>
      <c r="P85" s="507">
        <f>P77*地域経済性分析・初期条件!$K$11</f>
        <v>0</v>
      </c>
      <c r="Q85" s="507">
        <f>Q77*地域経済性分析・初期条件!$K$11</f>
        <v>0</v>
      </c>
      <c r="R85" s="507">
        <f>R77*地域経済性分析・初期条件!$K$11</f>
        <v>0</v>
      </c>
      <c r="S85" s="507">
        <f>S77*地域経済性分析・初期条件!$K$11</f>
        <v>0</v>
      </c>
      <c r="T85" s="507">
        <f>T77*地域経済性分析・初期条件!$K$11</f>
        <v>0</v>
      </c>
      <c r="U85" s="507">
        <f>U77*地域経済性分析・初期条件!$K$11</f>
        <v>0</v>
      </c>
      <c r="V85" s="507">
        <f>V77*地域経済性分析・初期条件!$K$11</f>
        <v>0</v>
      </c>
      <c r="W85" s="507">
        <f>W77*地域経済性分析・初期条件!$K$11</f>
        <v>0</v>
      </c>
      <c r="X85" s="507">
        <f>X77*地域経済性分析・初期条件!$K$11</f>
        <v>0</v>
      </c>
      <c r="Y85" s="507">
        <f>Y77*地域経済性分析・初期条件!$K$11</f>
        <v>0</v>
      </c>
      <c r="Z85" s="507">
        <f>Z77*地域経済性分析・初期条件!$K$11</f>
        <v>0</v>
      </c>
      <c r="AA85" s="507">
        <f>AA77*地域経済性分析・初期条件!$K$11</f>
        <v>0</v>
      </c>
      <c r="AB85" s="507">
        <f>AB77*地域経済性分析・初期条件!$K$11</f>
        <v>0</v>
      </c>
      <c r="AC85" s="507">
        <f>AC77*地域経済性分析・初期条件!$K$11</f>
        <v>0</v>
      </c>
      <c r="AD85" s="507">
        <f>AD77*地域経済性分析・初期条件!$K$11</f>
        <v>0</v>
      </c>
      <c r="AE85" s="507">
        <f>AE77*地域経済性分析・初期条件!$K$11</f>
        <v>0</v>
      </c>
      <c r="AF85" s="507">
        <f>AF77*地域経済性分析・初期条件!$K$11</f>
        <v>0</v>
      </c>
      <c r="AG85" s="507">
        <f>AG77*地域経済性分析・初期条件!$K$11</f>
        <v>0</v>
      </c>
      <c r="AH85" s="507">
        <f>AH77*地域経済性分析・初期条件!$K$11</f>
        <v>0</v>
      </c>
      <c r="AI85" s="548">
        <f t="shared" si="33"/>
        <v>0</v>
      </c>
      <c r="AJ85" s="548">
        <f t="shared" si="34"/>
        <v>0</v>
      </c>
      <c r="AK85" s="510">
        <f t="shared" si="35"/>
        <v>0</v>
      </c>
    </row>
    <row r="86" spans="1:37" ht="11.5" x14ac:dyDescent="0.25">
      <c r="A86" s="546"/>
      <c r="B86" s="452" t="s">
        <v>344</v>
      </c>
      <c r="C86" s="465" t="s">
        <v>37</v>
      </c>
      <c r="D86" s="507">
        <f>D77*地域経済性分析・初期条件!$L$11</f>
        <v>0</v>
      </c>
      <c r="E86" s="507">
        <f>E77*地域経済性分析・初期条件!$L$11</f>
        <v>0</v>
      </c>
      <c r="F86" s="507">
        <f>F77*地域経済性分析・初期条件!$L$11</f>
        <v>0</v>
      </c>
      <c r="G86" s="507">
        <f>G77*地域経済性分析・初期条件!$L$11</f>
        <v>0</v>
      </c>
      <c r="H86" s="507">
        <f>H77*地域経済性分析・初期条件!$L$11</f>
        <v>0</v>
      </c>
      <c r="I86" s="507">
        <f>I77*地域経済性分析・初期条件!$L$11</f>
        <v>0</v>
      </c>
      <c r="J86" s="507">
        <f>J77*地域経済性分析・初期条件!$L$11</f>
        <v>0</v>
      </c>
      <c r="K86" s="507">
        <f>K77*地域経済性分析・初期条件!$L$11</f>
        <v>0</v>
      </c>
      <c r="L86" s="507">
        <f>L77*地域経済性分析・初期条件!$L$11</f>
        <v>0</v>
      </c>
      <c r="M86" s="507">
        <f>M77*地域経済性分析・初期条件!$L$11</f>
        <v>0</v>
      </c>
      <c r="N86" s="507">
        <f>N77*地域経済性分析・初期条件!$L$11</f>
        <v>0</v>
      </c>
      <c r="O86" s="507">
        <f>O77*地域経済性分析・初期条件!$L$11</f>
        <v>0</v>
      </c>
      <c r="P86" s="507">
        <f>P77*地域経済性分析・初期条件!$L$11</f>
        <v>0</v>
      </c>
      <c r="Q86" s="507">
        <f>Q77*地域経済性分析・初期条件!$L$11</f>
        <v>0</v>
      </c>
      <c r="R86" s="507">
        <f>R77*地域経済性分析・初期条件!$L$11</f>
        <v>0</v>
      </c>
      <c r="S86" s="507">
        <f>S77*地域経済性分析・初期条件!$L$11</f>
        <v>0</v>
      </c>
      <c r="T86" s="507">
        <f>T77*地域経済性分析・初期条件!$L$11</f>
        <v>0</v>
      </c>
      <c r="U86" s="507">
        <f>U77*地域経済性分析・初期条件!$L$11</f>
        <v>0</v>
      </c>
      <c r="V86" s="507">
        <f>V77*地域経済性分析・初期条件!$L$11</f>
        <v>0</v>
      </c>
      <c r="W86" s="507">
        <f>W77*地域経済性分析・初期条件!$L$11</f>
        <v>0</v>
      </c>
      <c r="X86" s="507">
        <f>X77*地域経済性分析・初期条件!$L$11</f>
        <v>0</v>
      </c>
      <c r="Y86" s="507">
        <f>Y77*地域経済性分析・初期条件!$L$11</f>
        <v>0</v>
      </c>
      <c r="Z86" s="507">
        <f>Z77*地域経済性分析・初期条件!$L$11</f>
        <v>0</v>
      </c>
      <c r="AA86" s="507">
        <f>AA77*地域経済性分析・初期条件!$L$11</f>
        <v>0</v>
      </c>
      <c r="AB86" s="507">
        <f>AB77*地域経済性分析・初期条件!$L$11</f>
        <v>0</v>
      </c>
      <c r="AC86" s="507">
        <f>AC77*地域経済性分析・初期条件!$L$11</f>
        <v>0</v>
      </c>
      <c r="AD86" s="507">
        <f>AD77*地域経済性分析・初期条件!$L$11</f>
        <v>0</v>
      </c>
      <c r="AE86" s="507">
        <f>AE77*地域経済性分析・初期条件!$L$11</f>
        <v>0</v>
      </c>
      <c r="AF86" s="507">
        <f>AF77*地域経済性分析・初期条件!$L$11</f>
        <v>0</v>
      </c>
      <c r="AG86" s="507">
        <f>AG77*地域経済性分析・初期条件!$L$11</f>
        <v>0</v>
      </c>
      <c r="AH86" s="507">
        <f>AH77*地域経済性分析・初期条件!$L$11</f>
        <v>0</v>
      </c>
      <c r="AI86" s="548">
        <f>SUM(D86:N86)</f>
        <v>0</v>
      </c>
      <c r="AJ86" s="548">
        <f t="shared" si="34"/>
        <v>0</v>
      </c>
      <c r="AK86" s="510">
        <f t="shared" si="35"/>
        <v>0</v>
      </c>
    </row>
    <row r="87" spans="1:37" ht="11.5" x14ac:dyDescent="0.25">
      <c r="A87" s="546"/>
      <c r="B87" s="452" t="s">
        <v>345</v>
      </c>
      <c r="C87" s="465" t="s">
        <v>37</v>
      </c>
      <c r="D87" s="507">
        <f>D77*地域経済性分析・初期条件!$M$11</f>
        <v>0</v>
      </c>
      <c r="E87" s="507">
        <f>E77*地域経済性分析・初期条件!$M$11</f>
        <v>0</v>
      </c>
      <c r="F87" s="507">
        <f>F77*地域経済性分析・初期条件!$M$11</f>
        <v>0</v>
      </c>
      <c r="G87" s="507">
        <f>G77*地域経済性分析・初期条件!$M$11</f>
        <v>0</v>
      </c>
      <c r="H87" s="507">
        <f>H77*地域経済性分析・初期条件!$M$11</f>
        <v>0</v>
      </c>
      <c r="I87" s="507">
        <f>I77*地域経済性分析・初期条件!$M$11</f>
        <v>0</v>
      </c>
      <c r="J87" s="507">
        <f>J77*地域経済性分析・初期条件!$M$11</f>
        <v>0</v>
      </c>
      <c r="K87" s="507">
        <f>K77*地域経済性分析・初期条件!$M$11</f>
        <v>0</v>
      </c>
      <c r="L87" s="507">
        <f>L77*地域経済性分析・初期条件!$M$11</f>
        <v>0</v>
      </c>
      <c r="M87" s="507">
        <f>M77*地域経済性分析・初期条件!$M$11</f>
        <v>0</v>
      </c>
      <c r="N87" s="507">
        <f>N77*地域経済性分析・初期条件!$M$11</f>
        <v>0</v>
      </c>
      <c r="O87" s="507">
        <f>O77*地域経済性分析・初期条件!$M$11</f>
        <v>0</v>
      </c>
      <c r="P87" s="507">
        <f>P77*地域経済性分析・初期条件!$M$11</f>
        <v>0</v>
      </c>
      <c r="Q87" s="507">
        <f>Q77*地域経済性分析・初期条件!$M$11</f>
        <v>0</v>
      </c>
      <c r="R87" s="507">
        <f>R77*地域経済性分析・初期条件!$M$11</f>
        <v>0</v>
      </c>
      <c r="S87" s="507">
        <f>S77*地域経済性分析・初期条件!$M$11</f>
        <v>0</v>
      </c>
      <c r="T87" s="507">
        <f>T77*地域経済性分析・初期条件!$M$11</f>
        <v>0</v>
      </c>
      <c r="U87" s="507">
        <f>U77*地域経済性分析・初期条件!$M$11</f>
        <v>0</v>
      </c>
      <c r="V87" s="507">
        <f>V77*地域経済性分析・初期条件!$M$11</f>
        <v>0</v>
      </c>
      <c r="W87" s="507">
        <f>W77*地域経済性分析・初期条件!$M$11</f>
        <v>0</v>
      </c>
      <c r="X87" s="507">
        <f>X77*地域経済性分析・初期条件!$M$11</f>
        <v>0</v>
      </c>
      <c r="Y87" s="507">
        <f>Y77*地域経済性分析・初期条件!$M$11</f>
        <v>0</v>
      </c>
      <c r="Z87" s="507">
        <f>Z77*地域経済性分析・初期条件!$M$11</f>
        <v>0</v>
      </c>
      <c r="AA87" s="507">
        <f>AA77*地域経済性分析・初期条件!$M$11</f>
        <v>0</v>
      </c>
      <c r="AB87" s="507">
        <f>AB77*地域経済性分析・初期条件!$M$11</f>
        <v>0</v>
      </c>
      <c r="AC87" s="507">
        <f>AC77*地域経済性分析・初期条件!$M$11</f>
        <v>0</v>
      </c>
      <c r="AD87" s="507">
        <f>AD77*地域経済性分析・初期条件!$M$11</f>
        <v>0</v>
      </c>
      <c r="AE87" s="507">
        <f>AE77*地域経済性分析・初期条件!$M$11</f>
        <v>0</v>
      </c>
      <c r="AF87" s="507">
        <f>AF77*地域経済性分析・初期条件!$M$11</f>
        <v>0</v>
      </c>
      <c r="AG87" s="507">
        <f>AG77*地域経済性分析・初期条件!$M$11</f>
        <v>0</v>
      </c>
      <c r="AH87" s="507">
        <f>AH77*地域経済性分析・初期条件!$M$11</f>
        <v>0</v>
      </c>
      <c r="AI87" s="548">
        <f>SUM(D87:N87)</f>
        <v>0</v>
      </c>
      <c r="AJ87" s="548">
        <f t="shared" si="34"/>
        <v>0</v>
      </c>
      <c r="AK87" s="510">
        <f t="shared" si="35"/>
        <v>0</v>
      </c>
    </row>
    <row r="88" spans="1:37" ht="11.5" x14ac:dyDescent="0.25">
      <c r="A88" s="546"/>
      <c r="B88" s="452" t="s">
        <v>346</v>
      </c>
      <c r="C88" s="465" t="s">
        <v>37</v>
      </c>
      <c r="D88" s="507">
        <f>D77*地域経済性分析・初期条件!$N$11</f>
        <v>0</v>
      </c>
      <c r="E88" s="507">
        <f>E77*地域経済性分析・初期条件!$N$11</f>
        <v>0</v>
      </c>
      <c r="F88" s="507">
        <f>F77*地域経済性分析・初期条件!$N$11</f>
        <v>0</v>
      </c>
      <c r="G88" s="507">
        <f>G77*地域経済性分析・初期条件!$N$11</f>
        <v>0</v>
      </c>
      <c r="H88" s="507">
        <f>H77*地域経済性分析・初期条件!$N$11</f>
        <v>0</v>
      </c>
      <c r="I88" s="507">
        <f>I77*地域経済性分析・初期条件!$N$11</f>
        <v>0</v>
      </c>
      <c r="J88" s="507">
        <f>J77*地域経済性分析・初期条件!$N$11</f>
        <v>0</v>
      </c>
      <c r="K88" s="507">
        <f>K77*地域経済性分析・初期条件!$N$11</f>
        <v>0</v>
      </c>
      <c r="L88" s="507">
        <f>L77*地域経済性分析・初期条件!$N$11</f>
        <v>0</v>
      </c>
      <c r="M88" s="507">
        <f>M77*地域経済性分析・初期条件!$N$11</f>
        <v>0</v>
      </c>
      <c r="N88" s="507">
        <f>N77*地域経済性分析・初期条件!$N$11</f>
        <v>0</v>
      </c>
      <c r="O88" s="507">
        <f>O77*地域経済性分析・初期条件!$N$11</f>
        <v>0</v>
      </c>
      <c r="P88" s="507">
        <f>P77*地域経済性分析・初期条件!$N$11</f>
        <v>0</v>
      </c>
      <c r="Q88" s="507">
        <f>Q77*地域経済性分析・初期条件!$N$11</f>
        <v>0</v>
      </c>
      <c r="R88" s="507">
        <f>R77*地域経済性分析・初期条件!$N$11</f>
        <v>0</v>
      </c>
      <c r="S88" s="507">
        <f>S77*地域経済性分析・初期条件!$N$11</f>
        <v>0</v>
      </c>
      <c r="T88" s="507">
        <f>T77*地域経済性分析・初期条件!$N$11</f>
        <v>0</v>
      </c>
      <c r="U88" s="507">
        <f>U77*地域経済性分析・初期条件!$N$11</f>
        <v>0</v>
      </c>
      <c r="V88" s="507">
        <f>V77*地域経済性分析・初期条件!$N$11</f>
        <v>0</v>
      </c>
      <c r="W88" s="507">
        <f>W77*地域経済性分析・初期条件!$N$11</f>
        <v>0</v>
      </c>
      <c r="X88" s="507">
        <f>X77*地域経済性分析・初期条件!$N$11</f>
        <v>0</v>
      </c>
      <c r="Y88" s="507">
        <f>Y77*地域経済性分析・初期条件!$N$11</f>
        <v>0</v>
      </c>
      <c r="Z88" s="507">
        <f>Z77*地域経済性分析・初期条件!$N$11</f>
        <v>0</v>
      </c>
      <c r="AA88" s="507">
        <f>AA77*地域経済性分析・初期条件!$N$11</f>
        <v>0</v>
      </c>
      <c r="AB88" s="507">
        <f>AB77*地域経済性分析・初期条件!$N$11</f>
        <v>0</v>
      </c>
      <c r="AC88" s="507">
        <f>AC77*地域経済性分析・初期条件!$N$11</f>
        <v>0</v>
      </c>
      <c r="AD88" s="507">
        <f>AD77*地域経済性分析・初期条件!$N$11</f>
        <v>0</v>
      </c>
      <c r="AE88" s="507">
        <f>AE77*地域経済性分析・初期条件!$N$11</f>
        <v>0</v>
      </c>
      <c r="AF88" s="507">
        <f>AF77*地域経済性分析・初期条件!$N$11</f>
        <v>0</v>
      </c>
      <c r="AG88" s="507">
        <f>AG77*地域経済性分析・初期条件!$N$11</f>
        <v>0</v>
      </c>
      <c r="AH88" s="507">
        <f>AH77*地域経済性分析・初期条件!$N$11</f>
        <v>0</v>
      </c>
      <c r="AI88" s="548">
        <f>SUM(D88:N88)</f>
        <v>0</v>
      </c>
      <c r="AJ88" s="548">
        <f t="shared" si="34"/>
        <v>0</v>
      </c>
      <c r="AK88" s="510">
        <f t="shared" si="35"/>
        <v>0</v>
      </c>
    </row>
    <row r="89" spans="1:37" ht="12" thickBot="1" x14ac:dyDescent="0.3">
      <c r="A89" s="682"/>
      <c r="B89" s="683" t="s">
        <v>347</v>
      </c>
      <c r="C89" s="684" t="s">
        <v>37</v>
      </c>
      <c r="D89" s="685">
        <f>D77*地域経済性分析・初期条件!$O$11</f>
        <v>0</v>
      </c>
      <c r="E89" s="685">
        <f>E77*地域経済性分析・初期条件!$O$11</f>
        <v>0</v>
      </c>
      <c r="F89" s="685">
        <f>F77*地域経済性分析・初期条件!$O$11</f>
        <v>0</v>
      </c>
      <c r="G89" s="685">
        <f>G77*地域経済性分析・初期条件!$O$11</f>
        <v>0</v>
      </c>
      <c r="H89" s="685">
        <f>H77*地域経済性分析・初期条件!$O$11</f>
        <v>0</v>
      </c>
      <c r="I89" s="685">
        <f>I77*地域経済性分析・初期条件!$O$11</f>
        <v>0</v>
      </c>
      <c r="J89" s="685">
        <f>J77*地域経済性分析・初期条件!$O$11</f>
        <v>0</v>
      </c>
      <c r="K89" s="685">
        <f>K77*地域経済性分析・初期条件!$O$11</f>
        <v>0</v>
      </c>
      <c r="L89" s="685">
        <f>L77*地域経済性分析・初期条件!$O$11</f>
        <v>0</v>
      </c>
      <c r="M89" s="685">
        <f>M77*地域経済性分析・初期条件!$O$11</f>
        <v>0</v>
      </c>
      <c r="N89" s="685">
        <f>N77*地域経済性分析・初期条件!$O$11</f>
        <v>0</v>
      </c>
      <c r="O89" s="685">
        <f>O77*地域経済性分析・初期条件!$O$11</f>
        <v>0</v>
      </c>
      <c r="P89" s="685">
        <f>P77*地域経済性分析・初期条件!$O$11</f>
        <v>0</v>
      </c>
      <c r="Q89" s="685">
        <f>Q77*地域経済性分析・初期条件!$O$11</f>
        <v>0</v>
      </c>
      <c r="R89" s="685">
        <f>R77*地域経済性分析・初期条件!$O$11</f>
        <v>0</v>
      </c>
      <c r="S89" s="685">
        <f>S77*地域経済性分析・初期条件!$O$11</f>
        <v>0</v>
      </c>
      <c r="T89" s="685">
        <f>T77*地域経済性分析・初期条件!$O$11</f>
        <v>0</v>
      </c>
      <c r="U89" s="685">
        <f>U77*地域経済性分析・初期条件!$O$11</f>
        <v>0</v>
      </c>
      <c r="V89" s="685">
        <f>V77*地域経済性分析・初期条件!$O$11</f>
        <v>0</v>
      </c>
      <c r="W89" s="685">
        <f>W77*地域経済性分析・初期条件!$O$11</f>
        <v>0</v>
      </c>
      <c r="X89" s="685">
        <f>X77*地域経済性分析・初期条件!$O$11</f>
        <v>0</v>
      </c>
      <c r="Y89" s="685">
        <f>Y77*地域経済性分析・初期条件!$O$11</f>
        <v>0</v>
      </c>
      <c r="Z89" s="685">
        <f>Z77*地域経済性分析・初期条件!$O$11</f>
        <v>0</v>
      </c>
      <c r="AA89" s="685">
        <f>AA77*地域経済性分析・初期条件!$O$11</f>
        <v>0</v>
      </c>
      <c r="AB89" s="685">
        <f>AB77*地域経済性分析・初期条件!$O$11</f>
        <v>0</v>
      </c>
      <c r="AC89" s="685">
        <f>AC77*地域経済性分析・初期条件!$O$11</f>
        <v>0</v>
      </c>
      <c r="AD89" s="685">
        <f>AD77*地域経済性分析・初期条件!$O$11</f>
        <v>0</v>
      </c>
      <c r="AE89" s="685">
        <f>AE77*地域経済性分析・初期条件!$O$11</f>
        <v>0</v>
      </c>
      <c r="AF89" s="685">
        <f>AF77*地域経済性分析・初期条件!$O$11</f>
        <v>0</v>
      </c>
      <c r="AG89" s="685">
        <f>AG77*地域経済性分析・初期条件!$O$11</f>
        <v>0</v>
      </c>
      <c r="AH89" s="685">
        <f>AH77*地域経済性分析・初期条件!$O$11</f>
        <v>0</v>
      </c>
      <c r="AI89" s="687">
        <f>SUM(D89:N89)</f>
        <v>0</v>
      </c>
      <c r="AJ89" s="687">
        <f t="shared" si="34"/>
        <v>0</v>
      </c>
      <c r="AK89" s="688">
        <f t="shared" si="35"/>
        <v>0</v>
      </c>
    </row>
    <row r="90" spans="1:37" ht="12" thickTop="1" x14ac:dyDescent="0.25">
      <c r="A90" s="1256" t="s">
        <v>1049</v>
      </c>
      <c r="B90" s="452"/>
      <c r="C90" s="465" t="s">
        <v>1050</v>
      </c>
      <c r="D90" s="507">
        <f>SUM(D54:D61,D68:D75,,D82:D89)</f>
        <v>103216403.80470259</v>
      </c>
      <c r="E90" s="507">
        <f t="shared" ref="E90:AH90" si="36">SUM(E54:E61,E68:E75,,E82:E89)</f>
        <v>0</v>
      </c>
      <c r="F90" s="507">
        <f t="shared" si="36"/>
        <v>0</v>
      </c>
      <c r="G90" s="507">
        <f t="shared" si="36"/>
        <v>0</v>
      </c>
      <c r="H90" s="507">
        <f t="shared" si="36"/>
        <v>0</v>
      </c>
      <c r="I90" s="507">
        <f t="shared" si="36"/>
        <v>0</v>
      </c>
      <c r="J90" s="507">
        <f t="shared" si="36"/>
        <v>0</v>
      </c>
      <c r="K90" s="507">
        <f t="shared" si="36"/>
        <v>0</v>
      </c>
      <c r="L90" s="507">
        <f t="shared" si="36"/>
        <v>0</v>
      </c>
      <c r="M90" s="507">
        <f t="shared" si="36"/>
        <v>0</v>
      </c>
      <c r="N90" s="507">
        <f t="shared" si="36"/>
        <v>0</v>
      </c>
      <c r="O90" s="507">
        <f t="shared" si="36"/>
        <v>0</v>
      </c>
      <c r="P90" s="507">
        <f t="shared" si="36"/>
        <v>0</v>
      </c>
      <c r="Q90" s="507">
        <f t="shared" si="36"/>
        <v>0</v>
      </c>
      <c r="R90" s="507">
        <f t="shared" si="36"/>
        <v>0</v>
      </c>
      <c r="S90" s="507">
        <f t="shared" si="36"/>
        <v>0</v>
      </c>
      <c r="T90" s="507">
        <f t="shared" si="36"/>
        <v>0</v>
      </c>
      <c r="U90" s="507">
        <f t="shared" si="36"/>
        <v>0</v>
      </c>
      <c r="V90" s="507">
        <f t="shared" si="36"/>
        <v>0</v>
      </c>
      <c r="W90" s="507">
        <f t="shared" si="36"/>
        <v>0</v>
      </c>
      <c r="X90" s="507">
        <f t="shared" si="36"/>
        <v>0</v>
      </c>
      <c r="Y90" s="507">
        <f t="shared" si="36"/>
        <v>0</v>
      </c>
      <c r="Z90" s="507">
        <f t="shared" si="36"/>
        <v>0</v>
      </c>
      <c r="AA90" s="507">
        <f t="shared" si="36"/>
        <v>0</v>
      </c>
      <c r="AB90" s="507">
        <f t="shared" si="36"/>
        <v>0</v>
      </c>
      <c r="AC90" s="507">
        <f t="shared" si="36"/>
        <v>0</v>
      </c>
      <c r="AD90" s="507">
        <f t="shared" si="36"/>
        <v>0</v>
      </c>
      <c r="AE90" s="507">
        <f t="shared" si="36"/>
        <v>0</v>
      </c>
      <c r="AF90" s="507">
        <f t="shared" si="36"/>
        <v>0</v>
      </c>
      <c r="AG90" s="507">
        <f t="shared" si="36"/>
        <v>0</v>
      </c>
      <c r="AH90" s="507">
        <f t="shared" si="36"/>
        <v>0</v>
      </c>
      <c r="AI90" s="548">
        <f>AI47-SUM(AI54:AI61,AI68:AI75,AI82:AI89)</f>
        <v>1069550929.7207276</v>
      </c>
      <c r="AJ90" s="548">
        <f>AJ47-SUM(AJ54:AJ61,AJ68:AJ75,AJ82:AJ89)</f>
        <v>1069550929.7207276</v>
      </c>
      <c r="AK90" s="510">
        <f>AK47-SUM(AK54:AK61,AK68:AK75,AK82:AK89)</f>
        <v>1069550929.7207276</v>
      </c>
    </row>
    <row r="91" spans="1:37" ht="11.5" x14ac:dyDescent="0.25">
      <c r="A91" s="1257" t="s">
        <v>1051</v>
      </c>
      <c r="B91" s="1258"/>
      <c r="C91" s="1259" t="s">
        <v>37</v>
      </c>
      <c r="D91" s="1254">
        <f>D47*1.1-D90</f>
        <v>1186827663.0732708</v>
      </c>
      <c r="E91" s="1254">
        <f t="shared" ref="E91:AH91" si="37">E47*1.1-E90</f>
        <v>0</v>
      </c>
      <c r="F91" s="1254">
        <f t="shared" si="37"/>
        <v>0</v>
      </c>
      <c r="G91" s="1254">
        <f t="shared" si="37"/>
        <v>0</v>
      </c>
      <c r="H91" s="1254">
        <f t="shared" si="37"/>
        <v>0</v>
      </c>
      <c r="I91" s="1254">
        <f t="shared" si="37"/>
        <v>0</v>
      </c>
      <c r="J91" s="1254">
        <f t="shared" si="37"/>
        <v>0</v>
      </c>
      <c r="K91" s="1254">
        <f t="shared" si="37"/>
        <v>0</v>
      </c>
      <c r="L91" s="1254">
        <f t="shared" si="37"/>
        <v>0</v>
      </c>
      <c r="M91" s="1254">
        <f t="shared" si="37"/>
        <v>0</v>
      </c>
      <c r="N91" s="1254">
        <f t="shared" si="37"/>
        <v>0</v>
      </c>
      <c r="O91" s="1254">
        <f t="shared" si="37"/>
        <v>0</v>
      </c>
      <c r="P91" s="1254">
        <f t="shared" si="37"/>
        <v>0</v>
      </c>
      <c r="Q91" s="1254">
        <f t="shared" si="37"/>
        <v>0</v>
      </c>
      <c r="R91" s="1254">
        <f t="shared" si="37"/>
        <v>0</v>
      </c>
      <c r="S91" s="1254">
        <f t="shared" si="37"/>
        <v>0</v>
      </c>
      <c r="T91" s="1254">
        <f t="shared" si="37"/>
        <v>0</v>
      </c>
      <c r="U91" s="1254">
        <f t="shared" si="37"/>
        <v>0</v>
      </c>
      <c r="V91" s="1254">
        <f t="shared" si="37"/>
        <v>0</v>
      </c>
      <c r="W91" s="1254">
        <f t="shared" si="37"/>
        <v>0</v>
      </c>
      <c r="X91" s="1254">
        <f t="shared" si="37"/>
        <v>0</v>
      </c>
      <c r="Y91" s="1254">
        <f t="shared" si="37"/>
        <v>0</v>
      </c>
      <c r="Z91" s="1254">
        <f t="shared" si="37"/>
        <v>0</v>
      </c>
      <c r="AA91" s="1254">
        <f t="shared" si="37"/>
        <v>0</v>
      </c>
      <c r="AB91" s="1254">
        <f t="shared" si="37"/>
        <v>0</v>
      </c>
      <c r="AC91" s="1254">
        <f t="shared" si="37"/>
        <v>0</v>
      </c>
      <c r="AD91" s="1254">
        <f t="shared" si="37"/>
        <v>0</v>
      </c>
      <c r="AE91" s="1254">
        <f t="shared" si="37"/>
        <v>0</v>
      </c>
      <c r="AF91" s="1254">
        <f t="shared" si="37"/>
        <v>0</v>
      </c>
      <c r="AG91" s="1254">
        <f t="shared" si="37"/>
        <v>0</v>
      </c>
      <c r="AH91" s="1254">
        <f t="shared" si="37"/>
        <v>0</v>
      </c>
      <c r="AI91" s="550">
        <f>AI48-SUM(AI55:AI62,AI69:AI76,AI83:AI89)</f>
        <v>-67930571.86330913</v>
      </c>
      <c r="AJ91" s="550">
        <f>AJ48-SUM(AJ55:AJ62,AJ69:AJ76,AJ83:AJ89)</f>
        <v>-67930571.86330913</v>
      </c>
      <c r="AK91" s="551">
        <f>AK48-SUM(AK55:AK62,AK69:AK76,AK83:AK89)</f>
        <v>-67930571.86330913</v>
      </c>
    </row>
    <row r="92" spans="1:37" ht="11.5" x14ac:dyDescent="0.25">
      <c r="A92" s="452" t="str">
        <f>B29</f>
        <v>工事費</v>
      </c>
      <c r="C92" s="464" t="s">
        <v>37</v>
      </c>
      <c r="D92" s="507">
        <f t="shared" ref="D92" si="38">D29</f>
        <v>390922444.50847667</v>
      </c>
      <c r="E92" s="507">
        <f t="shared" ref="E92:AH92" si="39">E29</f>
        <v>0</v>
      </c>
      <c r="F92" s="507">
        <f t="shared" si="39"/>
        <v>0</v>
      </c>
      <c r="G92" s="507">
        <f t="shared" si="39"/>
        <v>0</v>
      </c>
      <c r="H92" s="507">
        <f t="shared" si="39"/>
        <v>0</v>
      </c>
      <c r="I92" s="507">
        <f t="shared" si="39"/>
        <v>0</v>
      </c>
      <c r="J92" s="507">
        <f t="shared" si="39"/>
        <v>0</v>
      </c>
      <c r="K92" s="507">
        <f t="shared" si="39"/>
        <v>0</v>
      </c>
      <c r="L92" s="507">
        <f t="shared" si="39"/>
        <v>0</v>
      </c>
      <c r="M92" s="507">
        <f t="shared" si="39"/>
        <v>0</v>
      </c>
      <c r="N92" s="507">
        <f t="shared" si="39"/>
        <v>0</v>
      </c>
      <c r="O92" s="507">
        <f t="shared" si="39"/>
        <v>0</v>
      </c>
      <c r="P92" s="507">
        <f t="shared" si="39"/>
        <v>0</v>
      </c>
      <c r="Q92" s="507">
        <f t="shared" si="39"/>
        <v>0</v>
      </c>
      <c r="R92" s="507">
        <f t="shared" si="39"/>
        <v>0</v>
      </c>
      <c r="S92" s="507">
        <f t="shared" si="39"/>
        <v>0</v>
      </c>
      <c r="T92" s="507">
        <f t="shared" si="39"/>
        <v>0</v>
      </c>
      <c r="U92" s="507">
        <f t="shared" si="39"/>
        <v>0</v>
      </c>
      <c r="V92" s="507">
        <f t="shared" si="39"/>
        <v>0</v>
      </c>
      <c r="W92" s="507">
        <f t="shared" si="39"/>
        <v>0</v>
      </c>
      <c r="X92" s="507">
        <f t="shared" si="39"/>
        <v>0</v>
      </c>
      <c r="Y92" s="507">
        <f t="shared" si="39"/>
        <v>0</v>
      </c>
      <c r="Z92" s="507">
        <f t="shared" si="39"/>
        <v>0</v>
      </c>
      <c r="AA92" s="507">
        <f t="shared" si="39"/>
        <v>0</v>
      </c>
      <c r="AB92" s="507">
        <f t="shared" si="39"/>
        <v>0</v>
      </c>
      <c r="AC92" s="507">
        <f t="shared" si="39"/>
        <v>0</v>
      </c>
      <c r="AD92" s="507">
        <f t="shared" si="39"/>
        <v>0</v>
      </c>
      <c r="AE92" s="507">
        <f t="shared" si="39"/>
        <v>0</v>
      </c>
      <c r="AF92" s="507">
        <f t="shared" si="39"/>
        <v>0</v>
      </c>
      <c r="AG92" s="507">
        <f t="shared" si="39"/>
        <v>0</v>
      </c>
      <c r="AH92" s="507">
        <f t="shared" si="39"/>
        <v>0</v>
      </c>
      <c r="AI92" s="548">
        <f>SUM(D92:N92)</f>
        <v>390922444.50847667</v>
      </c>
      <c r="AJ92" s="548">
        <f>SUM(D92:X92)</f>
        <v>390922444.50847667</v>
      </c>
      <c r="AK92" s="510">
        <f>SUM(D92:AH92)</f>
        <v>390922444.50847667</v>
      </c>
    </row>
    <row r="93" spans="1:37" ht="11.5" x14ac:dyDescent="0.25">
      <c r="A93" s="501" t="str">
        <f>地域経済性分析・初期条件!$G$13</f>
        <v>建設業</v>
      </c>
      <c r="C93" s="465"/>
      <c r="D93" s="507"/>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48"/>
      <c r="AJ93" s="548"/>
      <c r="AK93" s="510"/>
    </row>
    <row r="94" spans="1:37" ht="11.5" x14ac:dyDescent="0.25">
      <c r="A94" s="546" t="str">
        <f>A93&amp;B94</f>
        <v>建設業売上（税別）</v>
      </c>
      <c r="B94" s="452" t="s">
        <v>1047</v>
      </c>
      <c r="C94" s="464" t="s">
        <v>37</v>
      </c>
      <c r="D94" s="507">
        <f>D92*地域経済性分析・初期条件!$F$13</f>
        <v>195461222.25423834</v>
      </c>
      <c r="E94" s="507">
        <f>E92*地域経済性分析・初期条件!$F$13</f>
        <v>0</v>
      </c>
      <c r="F94" s="507">
        <f>F92*地域経済性分析・初期条件!$F$13</f>
        <v>0</v>
      </c>
      <c r="G94" s="507">
        <f>G92*地域経済性分析・初期条件!$F$13</f>
        <v>0</v>
      </c>
      <c r="H94" s="507">
        <f>H92*地域経済性分析・初期条件!$F$13</f>
        <v>0</v>
      </c>
      <c r="I94" s="507">
        <f>I92*地域経済性分析・初期条件!$F$13</f>
        <v>0</v>
      </c>
      <c r="J94" s="507">
        <f>J92*地域経済性分析・初期条件!$F$13</f>
        <v>0</v>
      </c>
      <c r="K94" s="507">
        <f>K92*地域経済性分析・初期条件!$F$13</f>
        <v>0</v>
      </c>
      <c r="L94" s="507">
        <f>L92*地域経済性分析・初期条件!$F$13</f>
        <v>0</v>
      </c>
      <c r="M94" s="507">
        <f>M92*地域経済性分析・初期条件!$F$13</f>
        <v>0</v>
      </c>
      <c r="N94" s="507">
        <f>N92*地域経済性分析・初期条件!$F$13</f>
        <v>0</v>
      </c>
      <c r="O94" s="507">
        <f>O92*地域経済性分析・初期条件!$F$13</f>
        <v>0</v>
      </c>
      <c r="P94" s="507">
        <f>P92*地域経済性分析・初期条件!$F$13</f>
        <v>0</v>
      </c>
      <c r="Q94" s="507">
        <f>Q92*地域経済性分析・初期条件!$F$13</f>
        <v>0</v>
      </c>
      <c r="R94" s="507">
        <f>R92*地域経済性分析・初期条件!$F$13</f>
        <v>0</v>
      </c>
      <c r="S94" s="507">
        <f>S92*地域経済性分析・初期条件!$F$13</f>
        <v>0</v>
      </c>
      <c r="T94" s="507">
        <f>T92*地域経済性分析・初期条件!$F$13</f>
        <v>0</v>
      </c>
      <c r="U94" s="507">
        <f>U92*地域経済性分析・初期条件!$F$13</f>
        <v>0</v>
      </c>
      <c r="V94" s="507">
        <f>V92*地域経済性分析・初期条件!$F$13</f>
        <v>0</v>
      </c>
      <c r="W94" s="507">
        <f>W92*地域経済性分析・初期条件!$F$13</f>
        <v>0</v>
      </c>
      <c r="X94" s="507">
        <f>X92*地域経済性分析・初期条件!$F$13</f>
        <v>0</v>
      </c>
      <c r="Y94" s="507">
        <f>Y92*地域経済性分析・初期条件!$F$13</f>
        <v>0</v>
      </c>
      <c r="Z94" s="507">
        <f>Z92*地域経済性分析・初期条件!$F$13</f>
        <v>0</v>
      </c>
      <c r="AA94" s="507">
        <f>AA92*地域経済性分析・初期条件!$F$13</f>
        <v>0</v>
      </c>
      <c r="AB94" s="507">
        <f>AB92*地域経済性分析・初期条件!$F$13</f>
        <v>0</v>
      </c>
      <c r="AC94" s="507">
        <f>AC92*地域経済性分析・初期条件!$F$13</f>
        <v>0</v>
      </c>
      <c r="AD94" s="507">
        <f>AD92*地域経済性分析・初期条件!$F$13</f>
        <v>0</v>
      </c>
      <c r="AE94" s="507">
        <f>AE92*地域経済性分析・初期条件!$F$13</f>
        <v>0</v>
      </c>
      <c r="AF94" s="507">
        <f>AF92*地域経済性分析・初期条件!$F$13</f>
        <v>0</v>
      </c>
      <c r="AG94" s="507">
        <f>AG92*地域経済性分析・初期条件!$F$13</f>
        <v>0</v>
      </c>
      <c r="AH94" s="507">
        <f>AH92*地域経済性分析・初期条件!$F$13</f>
        <v>0</v>
      </c>
      <c r="AI94" s="548">
        <f t="shared" ref="AI94:AI102" si="40">SUM(D94:N94)</f>
        <v>195461222.25423834</v>
      </c>
      <c r="AJ94" s="548">
        <f t="shared" ref="AJ94:AJ102" si="41">SUM(D94:X94)</f>
        <v>195461222.25423834</v>
      </c>
      <c r="AK94" s="510">
        <f t="shared" ref="AK94:AK102" si="42">SUM(D94:AH94)</f>
        <v>195461222.25423834</v>
      </c>
    </row>
    <row r="95" spans="1:37" ht="11.5" x14ac:dyDescent="0.25">
      <c r="A95" s="546"/>
      <c r="B95" s="452" t="s">
        <v>263</v>
      </c>
      <c r="C95" s="464" t="s">
        <v>37</v>
      </c>
      <c r="D95" s="507">
        <f>D94*波及効果シート!$D$72</f>
        <v>2150073.4447966218</v>
      </c>
      <c r="E95" s="507">
        <f>E94*波及効果シート!$D$72</f>
        <v>0</v>
      </c>
      <c r="F95" s="507">
        <f>F94*波及効果シート!$D$72</f>
        <v>0</v>
      </c>
      <c r="G95" s="507">
        <f>G94*波及効果シート!$D$72</f>
        <v>0</v>
      </c>
      <c r="H95" s="507">
        <f>H94*波及効果シート!$D$72</f>
        <v>0</v>
      </c>
      <c r="I95" s="507">
        <f>I94*波及効果シート!$D$72</f>
        <v>0</v>
      </c>
      <c r="J95" s="507">
        <f>J94*波及効果シート!$D$72</f>
        <v>0</v>
      </c>
      <c r="K95" s="507">
        <f>K94*波及効果シート!$D$72</f>
        <v>0</v>
      </c>
      <c r="L95" s="507">
        <f>L94*波及効果シート!$D$72</f>
        <v>0</v>
      </c>
      <c r="M95" s="507">
        <f>M94*波及効果シート!$D$72</f>
        <v>0</v>
      </c>
      <c r="N95" s="507">
        <f>N94*波及効果シート!$D$72</f>
        <v>0</v>
      </c>
      <c r="O95" s="507">
        <f>O94*波及効果シート!$D$72</f>
        <v>0</v>
      </c>
      <c r="P95" s="507">
        <f>P94*波及効果シート!$D$72</f>
        <v>0</v>
      </c>
      <c r="Q95" s="507">
        <f>Q94*波及効果シート!$D$72</f>
        <v>0</v>
      </c>
      <c r="R95" s="507">
        <f>R94*波及効果シート!$D$72</f>
        <v>0</v>
      </c>
      <c r="S95" s="507">
        <f>S94*波及効果シート!$D$72</f>
        <v>0</v>
      </c>
      <c r="T95" s="507">
        <f>T94*波及効果シート!$D$72</f>
        <v>0</v>
      </c>
      <c r="U95" s="507">
        <f>U94*波及効果シート!$D$72</f>
        <v>0</v>
      </c>
      <c r="V95" s="507">
        <f>V94*波及効果シート!$D$72</f>
        <v>0</v>
      </c>
      <c r="W95" s="507">
        <f>W94*波及効果シート!$D$72</f>
        <v>0</v>
      </c>
      <c r="X95" s="507">
        <f>X94*波及効果シート!$D$72</f>
        <v>0</v>
      </c>
      <c r="Y95" s="507">
        <f>Y94*波及効果シート!$D$72</f>
        <v>0</v>
      </c>
      <c r="Z95" s="507">
        <f>Z94*波及効果シート!$D$72</f>
        <v>0</v>
      </c>
      <c r="AA95" s="507">
        <f>AA94*波及効果シート!$D$72</f>
        <v>0</v>
      </c>
      <c r="AB95" s="507">
        <f>AB94*波及効果シート!$D$72</f>
        <v>0</v>
      </c>
      <c r="AC95" s="507">
        <f>AC94*波及効果シート!$D$72</f>
        <v>0</v>
      </c>
      <c r="AD95" s="507">
        <f>AD94*波及効果シート!$D$72</f>
        <v>0</v>
      </c>
      <c r="AE95" s="507">
        <f>AE94*波及効果シート!$D$72</f>
        <v>0</v>
      </c>
      <c r="AF95" s="507">
        <f>AF94*波及効果シート!$D$72</f>
        <v>0</v>
      </c>
      <c r="AG95" s="507">
        <f>AG94*波及効果シート!$D$72</f>
        <v>0</v>
      </c>
      <c r="AH95" s="507">
        <f>AH94*波及効果シート!$D$72</f>
        <v>0</v>
      </c>
      <c r="AI95" s="548">
        <f t="shared" si="40"/>
        <v>2150073.4447966218</v>
      </c>
      <c r="AJ95" s="548">
        <f t="shared" si="41"/>
        <v>2150073.4447966218</v>
      </c>
      <c r="AK95" s="510">
        <f t="shared" si="42"/>
        <v>2150073.4447966218</v>
      </c>
    </row>
    <row r="96" spans="1:37" ht="11.5" x14ac:dyDescent="0.25">
      <c r="A96" s="546"/>
      <c r="B96" s="452" t="s">
        <v>1048</v>
      </c>
      <c r="C96" s="465" t="s">
        <v>37</v>
      </c>
      <c r="D96" s="507">
        <f>D94*波及効果シート!$D$74</f>
        <v>2150073.4447966218</v>
      </c>
      <c r="E96" s="507">
        <f>E94*波及効果シート!$D$74</f>
        <v>0</v>
      </c>
      <c r="F96" s="507">
        <f>F94*波及効果シート!$D$74</f>
        <v>0</v>
      </c>
      <c r="G96" s="507">
        <f>G94*波及効果シート!$D$74</f>
        <v>0</v>
      </c>
      <c r="H96" s="507">
        <f>H94*波及効果シート!$D$74</f>
        <v>0</v>
      </c>
      <c r="I96" s="507">
        <f>I94*波及効果シート!$D$74</f>
        <v>0</v>
      </c>
      <c r="J96" s="507">
        <f>J94*波及効果シート!$D$74</f>
        <v>0</v>
      </c>
      <c r="K96" s="507">
        <f>K94*波及効果シート!$D$74</f>
        <v>0</v>
      </c>
      <c r="L96" s="507">
        <f>L94*波及効果シート!$D$74</f>
        <v>0</v>
      </c>
      <c r="M96" s="507">
        <f>M94*波及効果シート!$D$74</f>
        <v>0</v>
      </c>
      <c r="N96" s="507">
        <f>N94*波及効果シート!$D$74</f>
        <v>0</v>
      </c>
      <c r="O96" s="507">
        <f>O94*波及効果シート!$D$74</f>
        <v>0</v>
      </c>
      <c r="P96" s="507">
        <f>P94*波及効果シート!$D$74</f>
        <v>0</v>
      </c>
      <c r="Q96" s="507">
        <f>Q94*波及効果シート!$D$74</f>
        <v>0</v>
      </c>
      <c r="R96" s="507">
        <f>R94*波及効果シート!$D$74</f>
        <v>0</v>
      </c>
      <c r="S96" s="507">
        <f>S94*波及効果シート!$D$74</f>
        <v>0</v>
      </c>
      <c r="T96" s="507">
        <f>T94*波及効果シート!$D$74</f>
        <v>0</v>
      </c>
      <c r="U96" s="507">
        <f>U94*波及効果シート!$D$74</f>
        <v>0</v>
      </c>
      <c r="V96" s="507">
        <f>V94*波及効果シート!$D$74</f>
        <v>0</v>
      </c>
      <c r="W96" s="507">
        <f>W94*波及効果シート!$D$74</f>
        <v>0</v>
      </c>
      <c r="X96" s="507">
        <f>X94*波及効果シート!$D$74</f>
        <v>0</v>
      </c>
      <c r="Y96" s="507">
        <f>Y94*波及効果シート!$D$74</f>
        <v>0</v>
      </c>
      <c r="Z96" s="507">
        <f>Z94*波及効果シート!$D$74</f>
        <v>0</v>
      </c>
      <c r="AA96" s="507">
        <f>AA94*波及効果シート!$D$74</f>
        <v>0</v>
      </c>
      <c r="AB96" s="507">
        <f>AB94*波及効果シート!$D$74</f>
        <v>0</v>
      </c>
      <c r="AC96" s="507">
        <f>AC94*波及効果シート!$D$74</f>
        <v>0</v>
      </c>
      <c r="AD96" s="507">
        <f>AD94*波及効果シート!$D$74</f>
        <v>0</v>
      </c>
      <c r="AE96" s="507">
        <f>AE94*波及効果シート!$D$74</f>
        <v>0</v>
      </c>
      <c r="AF96" s="507">
        <f>AF94*波及効果シート!$D$74</f>
        <v>0</v>
      </c>
      <c r="AG96" s="507">
        <f>AG94*波及効果シート!$D$74</f>
        <v>0</v>
      </c>
      <c r="AH96" s="507">
        <f>AH94*波及効果シート!$D$74</f>
        <v>0</v>
      </c>
      <c r="AI96" s="548">
        <f t="shared" si="40"/>
        <v>2150073.4447966218</v>
      </c>
      <c r="AJ96" s="548">
        <f t="shared" si="41"/>
        <v>2150073.4447966218</v>
      </c>
      <c r="AK96" s="510">
        <f t="shared" si="42"/>
        <v>2150073.4447966218</v>
      </c>
    </row>
    <row r="97" spans="1:37" ht="11.5" x14ac:dyDescent="0.25">
      <c r="A97" s="546"/>
      <c r="B97" s="452" t="s">
        <v>356</v>
      </c>
      <c r="C97" s="465" t="s">
        <v>37</v>
      </c>
      <c r="D97" s="507">
        <f>D94*地域経済性分析・初期条件!$P$13</f>
        <v>0</v>
      </c>
      <c r="E97" s="507">
        <f>E94*地域経済性分析・初期条件!$P$13</f>
        <v>0</v>
      </c>
      <c r="F97" s="507">
        <f>F94*地域経済性分析・初期条件!$P$13</f>
        <v>0</v>
      </c>
      <c r="G97" s="507">
        <f>G94*地域経済性分析・初期条件!$P$13</f>
        <v>0</v>
      </c>
      <c r="H97" s="507">
        <f>H94*地域経済性分析・初期条件!$P$13</f>
        <v>0</v>
      </c>
      <c r="I97" s="507">
        <f>I94*地域経済性分析・初期条件!$P$13</f>
        <v>0</v>
      </c>
      <c r="J97" s="507">
        <f>J94*地域経済性分析・初期条件!$P$13</f>
        <v>0</v>
      </c>
      <c r="K97" s="507">
        <f>K94*地域経済性分析・初期条件!$P$13</f>
        <v>0</v>
      </c>
      <c r="L97" s="507">
        <f>L94*地域経済性分析・初期条件!$P$13</f>
        <v>0</v>
      </c>
      <c r="M97" s="507">
        <f>M94*地域経済性分析・初期条件!$P$13</f>
        <v>0</v>
      </c>
      <c r="N97" s="507">
        <f>N94*地域経済性分析・初期条件!$P$13</f>
        <v>0</v>
      </c>
      <c r="O97" s="507">
        <f>O94*地域経済性分析・初期条件!$P$13</f>
        <v>0</v>
      </c>
      <c r="P97" s="507">
        <f>P94*地域経済性分析・初期条件!$P$13</f>
        <v>0</v>
      </c>
      <c r="Q97" s="507">
        <f>Q94*地域経済性分析・初期条件!$P$13</f>
        <v>0</v>
      </c>
      <c r="R97" s="507">
        <f>R94*地域経済性分析・初期条件!$P$13</f>
        <v>0</v>
      </c>
      <c r="S97" s="507">
        <f>S94*地域経済性分析・初期条件!$P$13</f>
        <v>0</v>
      </c>
      <c r="T97" s="507">
        <f>T94*地域経済性分析・初期条件!$P$13</f>
        <v>0</v>
      </c>
      <c r="U97" s="507">
        <f>U94*地域経済性分析・初期条件!$P$13</f>
        <v>0</v>
      </c>
      <c r="V97" s="507">
        <f>V94*地域経済性分析・初期条件!$P$13</f>
        <v>0</v>
      </c>
      <c r="W97" s="507">
        <f>W94*地域経済性分析・初期条件!$P$13</f>
        <v>0</v>
      </c>
      <c r="X97" s="507">
        <f>X94*地域経済性分析・初期条件!$P$13</f>
        <v>0</v>
      </c>
      <c r="Y97" s="507">
        <f>Y94*地域経済性分析・初期条件!$P$13</f>
        <v>0</v>
      </c>
      <c r="Z97" s="507">
        <f>Z94*地域経済性分析・初期条件!$P$13</f>
        <v>0</v>
      </c>
      <c r="AA97" s="507">
        <f>AA94*地域経済性分析・初期条件!$P$13</f>
        <v>0</v>
      </c>
      <c r="AB97" s="507">
        <f>AB94*地域経済性分析・初期条件!$P$13</f>
        <v>0</v>
      </c>
      <c r="AC97" s="507">
        <f>AC94*地域経済性分析・初期条件!$P$13</f>
        <v>0</v>
      </c>
      <c r="AD97" s="507">
        <f>AD94*地域経済性分析・初期条件!$P$13</f>
        <v>0</v>
      </c>
      <c r="AE97" s="507">
        <f>AE94*地域経済性分析・初期条件!$P$13</f>
        <v>0</v>
      </c>
      <c r="AF97" s="507">
        <f>AF94*地域経済性分析・初期条件!$P$13</f>
        <v>0</v>
      </c>
      <c r="AG97" s="507">
        <f>AG94*地域経済性分析・初期条件!$P$13</f>
        <v>0</v>
      </c>
      <c r="AH97" s="507">
        <f>AH94*地域経済性分析・初期条件!$P$13</f>
        <v>0</v>
      </c>
      <c r="AI97" s="548">
        <f t="shared" si="40"/>
        <v>0</v>
      </c>
      <c r="AJ97" s="548">
        <f t="shared" si="41"/>
        <v>0</v>
      </c>
      <c r="AK97" s="510">
        <f t="shared" si="42"/>
        <v>0</v>
      </c>
    </row>
    <row r="98" spans="1:37" ht="11.5" x14ac:dyDescent="0.25">
      <c r="A98" s="546"/>
      <c r="B98" s="452" t="s">
        <v>355</v>
      </c>
      <c r="C98" s="465" t="s">
        <v>37</v>
      </c>
      <c r="D98" s="507">
        <f>D94*地域経済性分析・初期条件!$Q$13</f>
        <v>0</v>
      </c>
      <c r="E98" s="507">
        <f>E94*地域経済性分析・初期条件!$Q$13</f>
        <v>0</v>
      </c>
      <c r="F98" s="507">
        <f>F94*地域経済性分析・初期条件!$Q$13</f>
        <v>0</v>
      </c>
      <c r="G98" s="507">
        <f>G94*地域経済性分析・初期条件!$Q$13</f>
        <v>0</v>
      </c>
      <c r="H98" s="507">
        <f>H94*地域経済性分析・初期条件!$Q$13</f>
        <v>0</v>
      </c>
      <c r="I98" s="507">
        <f>I94*地域経済性分析・初期条件!$Q$13</f>
        <v>0</v>
      </c>
      <c r="J98" s="507">
        <f>J94*地域経済性分析・初期条件!$Q$13</f>
        <v>0</v>
      </c>
      <c r="K98" s="507">
        <f>K94*地域経済性分析・初期条件!$Q$13</f>
        <v>0</v>
      </c>
      <c r="L98" s="507">
        <f>L94*地域経済性分析・初期条件!$Q$13</f>
        <v>0</v>
      </c>
      <c r="M98" s="507">
        <f>M94*地域経済性分析・初期条件!$Q$13</f>
        <v>0</v>
      </c>
      <c r="N98" s="507">
        <f>N94*地域経済性分析・初期条件!$Q$13</f>
        <v>0</v>
      </c>
      <c r="O98" s="507">
        <f>O94*地域経済性分析・初期条件!$Q$13</f>
        <v>0</v>
      </c>
      <c r="P98" s="507">
        <f>P94*地域経済性分析・初期条件!$Q$13</f>
        <v>0</v>
      </c>
      <c r="Q98" s="507">
        <f>Q94*地域経済性分析・初期条件!$Q$13</f>
        <v>0</v>
      </c>
      <c r="R98" s="507">
        <f>R94*地域経済性分析・初期条件!$Q$13</f>
        <v>0</v>
      </c>
      <c r="S98" s="507">
        <f>S94*地域経済性分析・初期条件!$Q$13</f>
        <v>0</v>
      </c>
      <c r="T98" s="507">
        <f>T94*地域経済性分析・初期条件!$Q$13</f>
        <v>0</v>
      </c>
      <c r="U98" s="507">
        <f>U94*地域経済性分析・初期条件!$Q$13</f>
        <v>0</v>
      </c>
      <c r="V98" s="507">
        <f>V94*地域経済性分析・初期条件!$Q$13</f>
        <v>0</v>
      </c>
      <c r="W98" s="507">
        <f>W94*地域経済性分析・初期条件!$Q$13</f>
        <v>0</v>
      </c>
      <c r="X98" s="507">
        <f>X94*地域経済性分析・初期条件!$Q$13</f>
        <v>0</v>
      </c>
      <c r="Y98" s="507">
        <f>Y94*地域経済性分析・初期条件!$Q$13</f>
        <v>0</v>
      </c>
      <c r="Z98" s="507">
        <f>Z94*地域経済性分析・初期条件!$Q$13</f>
        <v>0</v>
      </c>
      <c r="AA98" s="507">
        <f>AA94*地域経済性分析・初期条件!$Q$13</f>
        <v>0</v>
      </c>
      <c r="AB98" s="507">
        <f>AB94*地域経済性分析・初期条件!$Q$13</f>
        <v>0</v>
      </c>
      <c r="AC98" s="507">
        <f>AC94*地域経済性分析・初期条件!$Q$13</f>
        <v>0</v>
      </c>
      <c r="AD98" s="507">
        <f>AD94*地域経済性分析・初期条件!$Q$13</f>
        <v>0</v>
      </c>
      <c r="AE98" s="507">
        <f>AE94*地域経済性分析・初期条件!$Q$13</f>
        <v>0</v>
      </c>
      <c r="AF98" s="507">
        <f>AF94*地域経済性分析・初期条件!$Q$13</f>
        <v>0</v>
      </c>
      <c r="AG98" s="507">
        <f>AG94*地域経済性分析・初期条件!$Q$13</f>
        <v>0</v>
      </c>
      <c r="AH98" s="507">
        <f>AH94*地域経済性分析・初期条件!$Q$13</f>
        <v>0</v>
      </c>
      <c r="AI98" s="548">
        <f t="shared" si="40"/>
        <v>0</v>
      </c>
      <c r="AJ98" s="548">
        <f t="shared" si="41"/>
        <v>0</v>
      </c>
      <c r="AK98" s="510">
        <f t="shared" si="42"/>
        <v>0</v>
      </c>
    </row>
    <row r="99" spans="1:37" ht="11.5" x14ac:dyDescent="0.25">
      <c r="A99" s="546" t="str">
        <f>A93&amp;B99</f>
        <v>建設業従業員の可処分所得（一次）</v>
      </c>
      <c r="B99" s="452" t="s">
        <v>339</v>
      </c>
      <c r="C99" s="464" t="s">
        <v>37</v>
      </c>
      <c r="D99" s="507">
        <f>D94*地域経済性分析・初期条件!$H$13</f>
        <v>19390858.587303661</v>
      </c>
      <c r="E99" s="507">
        <f>E94*地域経済性分析・初期条件!$H$13</f>
        <v>0</v>
      </c>
      <c r="F99" s="507">
        <f>F94*地域経済性分析・初期条件!$H$13</f>
        <v>0</v>
      </c>
      <c r="G99" s="507">
        <f>G94*地域経済性分析・初期条件!$H$13</f>
        <v>0</v>
      </c>
      <c r="H99" s="507">
        <f>H94*地域経済性分析・初期条件!$H$13</f>
        <v>0</v>
      </c>
      <c r="I99" s="507">
        <f>I94*地域経済性分析・初期条件!$H$13</f>
        <v>0</v>
      </c>
      <c r="J99" s="507">
        <f>J94*地域経済性分析・初期条件!$H$13</f>
        <v>0</v>
      </c>
      <c r="K99" s="507">
        <f>K94*地域経済性分析・初期条件!$H$13</f>
        <v>0</v>
      </c>
      <c r="L99" s="507">
        <f>L94*地域経済性分析・初期条件!$H$13</f>
        <v>0</v>
      </c>
      <c r="M99" s="507">
        <f>M94*地域経済性分析・初期条件!$H$13</f>
        <v>0</v>
      </c>
      <c r="N99" s="507">
        <f>N94*地域経済性分析・初期条件!$H$13</f>
        <v>0</v>
      </c>
      <c r="O99" s="507">
        <f>O94*地域経済性分析・初期条件!$H$13</f>
        <v>0</v>
      </c>
      <c r="P99" s="507">
        <f>P94*地域経済性分析・初期条件!$H$13</f>
        <v>0</v>
      </c>
      <c r="Q99" s="507">
        <f>Q94*地域経済性分析・初期条件!$H$13</f>
        <v>0</v>
      </c>
      <c r="R99" s="507">
        <f>R94*地域経済性分析・初期条件!$H$13</f>
        <v>0</v>
      </c>
      <c r="S99" s="507">
        <f>S94*地域経済性分析・初期条件!$H$13</f>
        <v>0</v>
      </c>
      <c r="T99" s="507">
        <f>T94*地域経済性分析・初期条件!$H$13</f>
        <v>0</v>
      </c>
      <c r="U99" s="507">
        <f>U94*地域経済性分析・初期条件!$H$13</f>
        <v>0</v>
      </c>
      <c r="V99" s="507">
        <f>V94*地域経済性分析・初期条件!$H$13</f>
        <v>0</v>
      </c>
      <c r="W99" s="507">
        <f>W94*地域経済性分析・初期条件!$H$13</f>
        <v>0</v>
      </c>
      <c r="X99" s="507">
        <f>X94*地域経済性分析・初期条件!$H$13</f>
        <v>0</v>
      </c>
      <c r="Y99" s="507">
        <f>Y94*地域経済性分析・初期条件!$H$13</f>
        <v>0</v>
      </c>
      <c r="Z99" s="507">
        <f>Z94*地域経済性分析・初期条件!$H$13</f>
        <v>0</v>
      </c>
      <c r="AA99" s="507">
        <f>AA94*地域経済性分析・初期条件!$H$13</f>
        <v>0</v>
      </c>
      <c r="AB99" s="507">
        <f>AB94*地域経済性分析・初期条件!$H$13</f>
        <v>0</v>
      </c>
      <c r="AC99" s="507">
        <f>AC94*地域経済性分析・初期条件!$H$13</f>
        <v>0</v>
      </c>
      <c r="AD99" s="507">
        <f>AD94*地域経済性分析・初期条件!$H$13</f>
        <v>0</v>
      </c>
      <c r="AE99" s="507">
        <f>AE94*地域経済性分析・初期条件!$H$13</f>
        <v>0</v>
      </c>
      <c r="AF99" s="507">
        <f>AF94*地域経済性分析・初期条件!$H$13</f>
        <v>0</v>
      </c>
      <c r="AG99" s="507">
        <f>AG94*地域経済性分析・初期条件!$H$13</f>
        <v>0</v>
      </c>
      <c r="AH99" s="507">
        <f>AH94*地域経済性分析・初期条件!$H$13</f>
        <v>0</v>
      </c>
      <c r="AI99" s="548">
        <f t="shared" si="40"/>
        <v>19390858.587303661</v>
      </c>
      <c r="AJ99" s="548">
        <f t="shared" si="41"/>
        <v>19390858.587303661</v>
      </c>
      <c r="AK99" s="510">
        <f t="shared" si="42"/>
        <v>19390858.587303661</v>
      </c>
    </row>
    <row r="100" spans="1:37" ht="11.5" x14ac:dyDescent="0.25">
      <c r="A100" s="546" t="str">
        <f>A93&amp;B100</f>
        <v>建設業企業の税引後利益（一次）</v>
      </c>
      <c r="B100" s="452" t="s">
        <v>340</v>
      </c>
      <c r="C100" s="464" t="s">
        <v>37</v>
      </c>
      <c r="D100" s="507">
        <f>D94*地域経済性分析・初期条件!$I$13</f>
        <v>6424810.4463817468</v>
      </c>
      <c r="E100" s="507">
        <f>E94*地域経済性分析・初期条件!$I$13</f>
        <v>0</v>
      </c>
      <c r="F100" s="507">
        <f>F94*地域経済性分析・初期条件!$I$13</f>
        <v>0</v>
      </c>
      <c r="G100" s="507">
        <f>G94*地域経済性分析・初期条件!$I$13</f>
        <v>0</v>
      </c>
      <c r="H100" s="507">
        <f>H94*地域経済性分析・初期条件!$I$13</f>
        <v>0</v>
      </c>
      <c r="I100" s="507">
        <f>I94*地域経済性分析・初期条件!$I$13</f>
        <v>0</v>
      </c>
      <c r="J100" s="507">
        <f>J94*地域経済性分析・初期条件!$I$13</f>
        <v>0</v>
      </c>
      <c r="K100" s="507">
        <f>K94*地域経済性分析・初期条件!$I$13</f>
        <v>0</v>
      </c>
      <c r="L100" s="507">
        <f>L94*地域経済性分析・初期条件!$I$13</f>
        <v>0</v>
      </c>
      <c r="M100" s="507">
        <f>M94*地域経済性分析・初期条件!$I$13</f>
        <v>0</v>
      </c>
      <c r="N100" s="507">
        <f>N94*地域経済性分析・初期条件!$I$13</f>
        <v>0</v>
      </c>
      <c r="O100" s="507">
        <f>O94*地域経済性分析・初期条件!$I$13</f>
        <v>0</v>
      </c>
      <c r="P100" s="507">
        <f>P94*地域経済性分析・初期条件!$I$13</f>
        <v>0</v>
      </c>
      <c r="Q100" s="507">
        <f>Q94*地域経済性分析・初期条件!$I$13</f>
        <v>0</v>
      </c>
      <c r="R100" s="507">
        <f>R94*地域経済性分析・初期条件!$I$13</f>
        <v>0</v>
      </c>
      <c r="S100" s="507">
        <f>S94*地域経済性分析・初期条件!$I$13</f>
        <v>0</v>
      </c>
      <c r="T100" s="507">
        <f>T94*地域経済性分析・初期条件!$I$13</f>
        <v>0</v>
      </c>
      <c r="U100" s="507">
        <f>U94*地域経済性分析・初期条件!$I$13</f>
        <v>0</v>
      </c>
      <c r="V100" s="507">
        <f>V94*地域経済性分析・初期条件!$I$13</f>
        <v>0</v>
      </c>
      <c r="W100" s="507">
        <f>W94*地域経済性分析・初期条件!$I$13</f>
        <v>0</v>
      </c>
      <c r="X100" s="507">
        <f>X94*地域経済性分析・初期条件!$I$13</f>
        <v>0</v>
      </c>
      <c r="Y100" s="507">
        <f>Y94*地域経済性分析・初期条件!$I$13</f>
        <v>0</v>
      </c>
      <c r="Z100" s="507">
        <f>Z94*地域経済性分析・初期条件!$I$13</f>
        <v>0</v>
      </c>
      <c r="AA100" s="507">
        <f>AA94*地域経済性分析・初期条件!$I$13</f>
        <v>0</v>
      </c>
      <c r="AB100" s="507">
        <f>AB94*地域経済性分析・初期条件!$I$13</f>
        <v>0</v>
      </c>
      <c r="AC100" s="507">
        <f>AC94*地域経済性分析・初期条件!$I$13</f>
        <v>0</v>
      </c>
      <c r="AD100" s="507">
        <f>AD94*地域経済性分析・初期条件!$I$13</f>
        <v>0</v>
      </c>
      <c r="AE100" s="507">
        <f>AE94*地域経済性分析・初期条件!$I$13</f>
        <v>0</v>
      </c>
      <c r="AF100" s="507">
        <f>AF94*地域経済性分析・初期条件!$I$13</f>
        <v>0</v>
      </c>
      <c r="AG100" s="507">
        <f>AG94*地域経済性分析・初期条件!$I$13</f>
        <v>0</v>
      </c>
      <c r="AH100" s="507">
        <f>AH94*地域経済性分析・初期条件!$I$13</f>
        <v>0</v>
      </c>
      <c r="AI100" s="548">
        <f t="shared" si="40"/>
        <v>6424810.4463817468</v>
      </c>
      <c r="AJ100" s="548">
        <f t="shared" si="41"/>
        <v>6424810.4463817468</v>
      </c>
      <c r="AK100" s="510">
        <f t="shared" si="42"/>
        <v>6424810.4463817468</v>
      </c>
    </row>
    <row r="101" spans="1:37" ht="11.5" x14ac:dyDescent="0.25">
      <c r="A101" s="546" t="str">
        <f>A93&amp;B101</f>
        <v>建設業都道府県税収（一次）</v>
      </c>
      <c r="B101" s="452" t="s">
        <v>341</v>
      </c>
      <c r="C101" s="464" t="s">
        <v>37</v>
      </c>
      <c r="D101" s="507">
        <f>D94*地域経済性分析・初期条件!$J$13</f>
        <v>2552295.3988467385</v>
      </c>
      <c r="E101" s="507">
        <f>E94*地域経済性分析・初期条件!$J$13</f>
        <v>0</v>
      </c>
      <c r="F101" s="507">
        <f>F94*地域経済性分析・初期条件!$J$13</f>
        <v>0</v>
      </c>
      <c r="G101" s="507">
        <f>G94*地域経済性分析・初期条件!$J$13</f>
        <v>0</v>
      </c>
      <c r="H101" s="507">
        <f>H94*地域経済性分析・初期条件!$J$13</f>
        <v>0</v>
      </c>
      <c r="I101" s="507">
        <f>I94*地域経済性分析・初期条件!$J$13</f>
        <v>0</v>
      </c>
      <c r="J101" s="507">
        <f>J94*地域経済性分析・初期条件!$J$13</f>
        <v>0</v>
      </c>
      <c r="K101" s="507">
        <f>K94*地域経済性分析・初期条件!$J$13</f>
        <v>0</v>
      </c>
      <c r="L101" s="507">
        <f>L94*地域経済性分析・初期条件!$J$13</f>
        <v>0</v>
      </c>
      <c r="M101" s="507">
        <f>M94*地域経済性分析・初期条件!$J$13</f>
        <v>0</v>
      </c>
      <c r="N101" s="507">
        <f>N94*地域経済性分析・初期条件!$J$13</f>
        <v>0</v>
      </c>
      <c r="O101" s="507">
        <f>O94*地域経済性分析・初期条件!$J$13</f>
        <v>0</v>
      </c>
      <c r="P101" s="507">
        <f>P94*地域経済性分析・初期条件!$J$13</f>
        <v>0</v>
      </c>
      <c r="Q101" s="507">
        <f>Q94*地域経済性分析・初期条件!$J$13</f>
        <v>0</v>
      </c>
      <c r="R101" s="507">
        <f>R94*地域経済性分析・初期条件!$J$13</f>
        <v>0</v>
      </c>
      <c r="S101" s="507">
        <f>S94*地域経済性分析・初期条件!$J$13</f>
        <v>0</v>
      </c>
      <c r="T101" s="507">
        <f>T94*地域経済性分析・初期条件!$J$13</f>
        <v>0</v>
      </c>
      <c r="U101" s="507">
        <f>U94*地域経済性分析・初期条件!$J$13</f>
        <v>0</v>
      </c>
      <c r="V101" s="507">
        <f>V94*地域経済性分析・初期条件!$J$13</f>
        <v>0</v>
      </c>
      <c r="W101" s="507">
        <f>W94*地域経済性分析・初期条件!$J$13</f>
        <v>0</v>
      </c>
      <c r="X101" s="507">
        <f>X94*地域経済性分析・初期条件!$J$13</f>
        <v>0</v>
      </c>
      <c r="Y101" s="507">
        <f>Y94*地域経済性分析・初期条件!$J$13</f>
        <v>0</v>
      </c>
      <c r="Z101" s="507">
        <f>Z94*地域経済性分析・初期条件!$J$13</f>
        <v>0</v>
      </c>
      <c r="AA101" s="507">
        <f>AA94*地域経済性分析・初期条件!$J$13</f>
        <v>0</v>
      </c>
      <c r="AB101" s="507">
        <f>AB94*地域経済性分析・初期条件!$J$13</f>
        <v>0</v>
      </c>
      <c r="AC101" s="507">
        <f>AC94*地域経済性分析・初期条件!$J$13</f>
        <v>0</v>
      </c>
      <c r="AD101" s="507">
        <f>AD94*地域経済性分析・初期条件!$J$13</f>
        <v>0</v>
      </c>
      <c r="AE101" s="507">
        <f>AE94*地域経済性分析・初期条件!$J$13</f>
        <v>0</v>
      </c>
      <c r="AF101" s="507">
        <f>AF94*地域経済性分析・初期条件!$J$13</f>
        <v>0</v>
      </c>
      <c r="AG101" s="507">
        <f>AG94*地域経済性分析・初期条件!$J$13</f>
        <v>0</v>
      </c>
      <c r="AH101" s="507">
        <f>AH94*地域経済性分析・初期条件!$J$13</f>
        <v>0</v>
      </c>
      <c r="AI101" s="548">
        <f t="shared" si="40"/>
        <v>2552295.3988467385</v>
      </c>
      <c r="AJ101" s="548">
        <f t="shared" si="41"/>
        <v>2552295.3988467385</v>
      </c>
      <c r="AK101" s="510">
        <f t="shared" si="42"/>
        <v>2552295.3988467385</v>
      </c>
    </row>
    <row r="102" spans="1:37" ht="11.5" x14ac:dyDescent="0.25">
      <c r="A102" s="546" t="str">
        <f>A93&amp;B102</f>
        <v>建設業市町村税収（一次）</v>
      </c>
      <c r="B102" s="452" t="s">
        <v>342</v>
      </c>
      <c r="C102" s="465" t="s">
        <v>37</v>
      </c>
      <c r="D102" s="507">
        <f>D94*地域経済性分析・初期条件!$K$13</f>
        <v>1241299.2677162762</v>
      </c>
      <c r="E102" s="507">
        <f>E94*地域経済性分析・初期条件!$K$13</f>
        <v>0</v>
      </c>
      <c r="F102" s="507">
        <f>F94*地域経済性分析・初期条件!$K$13</f>
        <v>0</v>
      </c>
      <c r="G102" s="507">
        <f>G94*地域経済性分析・初期条件!$K$13</f>
        <v>0</v>
      </c>
      <c r="H102" s="507">
        <f>H94*地域経済性分析・初期条件!$K$13</f>
        <v>0</v>
      </c>
      <c r="I102" s="507">
        <f>I94*地域経済性分析・初期条件!$K$13</f>
        <v>0</v>
      </c>
      <c r="J102" s="507">
        <f>J94*地域経済性分析・初期条件!$K$13</f>
        <v>0</v>
      </c>
      <c r="K102" s="507">
        <f>K94*地域経済性分析・初期条件!$K$13</f>
        <v>0</v>
      </c>
      <c r="L102" s="507">
        <f>L94*地域経済性分析・初期条件!$K$13</f>
        <v>0</v>
      </c>
      <c r="M102" s="507">
        <f>M94*地域経済性分析・初期条件!$K$13</f>
        <v>0</v>
      </c>
      <c r="N102" s="507">
        <f>N94*地域経済性分析・初期条件!$K$13</f>
        <v>0</v>
      </c>
      <c r="O102" s="507">
        <f>O94*地域経済性分析・初期条件!$K$13</f>
        <v>0</v>
      </c>
      <c r="P102" s="507">
        <f>P94*地域経済性分析・初期条件!$K$13</f>
        <v>0</v>
      </c>
      <c r="Q102" s="507">
        <f>Q94*地域経済性分析・初期条件!$K$13</f>
        <v>0</v>
      </c>
      <c r="R102" s="507">
        <f>R94*地域経済性分析・初期条件!$K$13</f>
        <v>0</v>
      </c>
      <c r="S102" s="507">
        <f>S94*地域経済性分析・初期条件!$K$13</f>
        <v>0</v>
      </c>
      <c r="T102" s="507">
        <f>T94*地域経済性分析・初期条件!$K$13</f>
        <v>0</v>
      </c>
      <c r="U102" s="507">
        <f>U94*地域経済性分析・初期条件!$K$13</f>
        <v>0</v>
      </c>
      <c r="V102" s="507">
        <f>V94*地域経済性分析・初期条件!$K$13</f>
        <v>0</v>
      </c>
      <c r="W102" s="507">
        <f>W94*地域経済性分析・初期条件!$K$13</f>
        <v>0</v>
      </c>
      <c r="X102" s="507">
        <f>X94*地域経済性分析・初期条件!$K$13</f>
        <v>0</v>
      </c>
      <c r="Y102" s="507">
        <f>Y94*地域経済性分析・初期条件!$K$13</f>
        <v>0</v>
      </c>
      <c r="Z102" s="507">
        <f>Z94*地域経済性分析・初期条件!$K$13</f>
        <v>0</v>
      </c>
      <c r="AA102" s="507">
        <f>AA94*地域経済性分析・初期条件!$K$13</f>
        <v>0</v>
      </c>
      <c r="AB102" s="507">
        <f>AB94*地域経済性分析・初期条件!$K$13</f>
        <v>0</v>
      </c>
      <c r="AC102" s="507">
        <f>AC94*地域経済性分析・初期条件!$K$13</f>
        <v>0</v>
      </c>
      <c r="AD102" s="507">
        <f>AD94*地域経済性分析・初期条件!$K$13</f>
        <v>0</v>
      </c>
      <c r="AE102" s="507">
        <f>AE94*地域経済性分析・初期条件!$K$13</f>
        <v>0</v>
      </c>
      <c r="AF102" s="507">
        <f>AF94*地域経済性分析・初期条件!$K$13</f>
        <v>0</v>
      </c>
      <c r="AG102" s="507">
        <f>AG94*地域経済性分析・初期条件!$K$13</f>
        <v>0</v>
      </c>
      <c r="AH102" s="507">
        <f>AH94*地域経済性分析・初期条件!$K$13</f>
        <v>0</v>
      </c>
      <c r="AI102" s="548">
        <f t="shared" si="40"/>
        <v>1241299.2677162762</v>
      </c>
      <c r="AJ102" s="548">
        <f t="shared" si="41"/>
        <v>1241299.2677162762</v>
      </c>
      <c r="AK102" s="510">
        <f t="shared" si="42"/>
        <v>1241299.2677162762</v>
      </c>
    </row>
    <row r="103" spans="1:37" ht="11.5" x14ac:dyDescent="0.25">
      <c r="A103" s="546"/>
      <c r="B103" s="452" t="s">
        <v>344</v>
      </c>
      <c r="C103" s="465" t="s">
        <v>37</v>
      </c>
      <c r="D103" s="507">
        <f>D94*地域経済性分析・初期条件!$L$13</f>
        <v>15965160.655183673</v>
      </c>
      <c r="E103" s="507">
        <f>E94*地域経済性分析・初期条件!$L$13</f>
        <v>0</v>
      </c>
      <c r="F103" s="507">
        <f>F94*地域経済性分析・初期条件!$L$13</f>
        <v>0</v>
      </c>
      <c r="G103" s="507">
        <f>G94*地域経済性分析・初期条件!$L$13</f>
        <v>0</v>
      </c>
      <c r="H103" s="507">
        <f>H94*地域経済性分析・初期条件!$L$13</f>
        <v>0</v>
      </c>
      <c r="I103" s="507">
        <f>I94*地域経済性分析・初期条件!$L$13</f>
        <v>0</v>
      </c>
      <c r="J103" s="507">
        <f>J94*地域経済性分析・初期条件!$L$13</f>
        <v>0</v>
      </c>
      <c r="K103" s="507">
        <f>K94*地域経済性分析・初期条件!$L$13</f>
        <v>0</v>
      </c>
      <c r="L103" s="507">
        <f>L94*地域経済性分析・初期条件!$L$13</f>
        <v>0</v>
      </c>
      <c r="M103" s="507">
        <f>M94*地域経済性分析・初期条件!$L$13</f>
        <v>0</v>
      </c>
      <c r="N103" s="507">
        <f>N94*地域経済性分析・初期条件!$L$13</f>
        <v>0</v>
      </c>
      <c r="O103" s="507">
        <f>O94*地域経済性分析・初期条件!$L$13</f>
        <v>0</v>
      </c>
      <c r="P103" s="507">
        <f>P94*地域経済性分析・初期条件!$L$13</f>
        <v>0</v>
      </c>
      <c r="Q103" s="507">
        <f>Q94*地域経済性分析・初期条件!$L$13</f>
        <v>0</v>
      </c>
      <c r="R103" s="507">
        <f>R94*地域経済性分析・初期条件!$L$13</f>
        <v>0</v>
      </c>
      <c r="S103" s="507">
        <f>S94*地域経済性分析・初期条件!$L$13</f>
        <v>0</v>
      </c>
      <c r="T103" s="507">
        <f>T94*地域経済性分析・初期条件!$L$13</f>
        <v>0</v>
      </c>
      <c r="U103" s="507">
        <f>U94*地域経済性分析・初期条件!$L$13</f>
        <v>0</v>
      </c>
      <c r="V103" s="507">
        <f>V94*地域経済性分析・初期条件!$L$13</f>
        <v>0</v>
      </c>
      <c r="W103" s="507">
        <f>W94*地域経済性分析・初期条件!$L$13</f>
        <v>0</v>
      </c>
      <c r="X103" s="507">
        <f>X94*地域経済性分析・初期条件!$L$13</f>
        <v>0</v>
      </c>
      <c r="Y103" s="507">
        <f>Y94*地域経済性分析・初期条件!$L$13</f>
        <v>0</v>
      </c>
      <c r="Z103" s="507">
        <f>Z94*地域経済性分析・初期条件!$L$13</f>
        <v>0</v>
      </c>
      <c r="AA103" s="507">
        <f>AA94*地域経済性分析・初期条件!$L$13</f>
        <v>0</v>
      </c>
      <c r="AB103" s="507">
        <f>AB94*地域経済性分析・初期条件!$L$13</f>
        <v>0</v>
      </c>
      <c r="AC103" s="507">
        <f>AC94*地域経済性分析・初期条件!$L$13</f>
        <v>0</v>
      </c>
      <c r="AD103" s="507">
        <f>AD94*地域経済性分析・初期条件!$L$13</f>
        <v>0</v>
      </c>
      <c r="AE103" s="507">
        <f>AE94*地域経済性分析・初期条件!$L$13</f>
        <v>0</v>
      </c>
      <c r="AF103" s="507">
        <f>AF94*地域経済性分析・初期条件!$L$13</f>
        <v>0</v>
      </c>
      <c r="AG103" s="507">
        <f>AG94*地域経済性分析・初期条件!$L$13</f>
        <v>0</v>
      </c>
      <c r="AH103" s="507">
        <f>AH94*地域経済性分析・初期条件!$L$13</f>
        <v>0</v>
      </c>
      <c r="AI103" s="548">
        <f>SUM(D103:N103)</f>
        <v>15965160.655183673</v>
      </c>
      <c r="AJ103" s="548">
        <f>SUM(D103:X103)</f>
        <v>15965160.655183673</v>
      </c>
      <c r="AK103" s="510">
        <f>SUM(D103:AH103)</f>
        <v>15965160.655183673</v>
      </c>
    </row>
    <row r="104" spans="1:37" ht="11.5" x14ac:dyDescent="0.25">
      <c r="A104" s="546"/>
      <c r="B104" s="452" t="s">
        <v>345</v>
      </c>
      <c r="C104" s="465" t="s">
        <v>37</v>
      </c>
      <c r="D104" s="507">
        <f>D94*地域経済性分析・初期条件!$M$13</f>
        <v>14497399.757036775</v>
      </c>
      <c r="E104" s="507">
        <f>E94*地域経済性分析・初期条件!$M$13</f>
        <v>0</v>
      </c>
      <c r="F104" s="507">
        <f>F94*地域経済性分析・初期条件!$M$13</f>
        <v>0</v>
      </c>
      <c r="G104" s="507">
        <f>G94*地域経済性分析・初期条件!$M$13</f>
        <v>0</v>
      </c>
      <c r="H104" s="507">
        <f>H94*地域経済性分析・初期条件!$M$13</f>
        <v>0</v>
      </c>
      <c r="I104" s="507">
        <f>I94*地域経済性分析・初期条件!$M$13</f>
        <v>0</v>
      </c>
      <c r="J104" s="507">
        <f>J94*地域経済性分析・初期条件!$M$13</f>
        <v>0</v>
      </c>
      <c r="K104" s="507">
        <f>K94*地域経済性分析・初期条件!$M$13</f>
        <v>0</v>
      </c>
      <c r="L104" s="507">
        <f>L94*地域経済性分析・初期条件!$M$13</f>
        <v>0</v>
      </c>
      <c r="M104" s="507">
        <f>M94*地域経済性分析・初期条件!$M$13</f>
        <v>0</v>
      </c>
      <c r="N104" s="507">
        <f>N94*地域経済性分析・初期条件!$M$13</f>
        <v>0</v>
      </c>
      <c r="O104" s="507">
        <f>O94*地域経済性分析・初期条件!$M$13</f>
        <v>0</v>
      </c>
      <c r="P104" s="507">
        <f>P94*地域経済性分析・初期条件!$M$13</f>
        <v>0</v>
      </c>
      <c r="Q104" s="507">
        <f>Q94*地域経済性分析・初期条件!$M$13</f>
        <v>0</v>
      </c>
      <c r="R104" s="507">
        <f>R94*地域経済性分析・初期条件!$M$13</f>
        <v>0</v>
      </c>
      <c r="S104" s="507">
        <f>S94*地域経済性分析・初期条件!$M$13</f>
        <v>0</v>
      </c>
      <c r="T104" s="507">
        <f>T94*地域経済性分析・初期条件!$M$13</f>
        <v>0</v>
      </c>
      <c r="U104" s="507">
        <f>U94*地域経済性分析・初期条件!$M$13</f>
        <v>0</v>
      </c>
      <c r="V104" s="507">
        <f>V94*地域経済性分析・初期条件!$M$13</f>
        <v>0</v>
      </c>
      <c r="W104" s="507">
        <f>W94*地域経済性分析・初期条件!$M$13</f>
        <v>0</v>
      </c>
      <c r="X104" s="507">
        <f>X94*地域経済性分析・初期条件!$M$13</f>
        <v>0</v>
      </c>
      <c r="Y104" s="507">
        <f>Y94*地域経済性分析・初期条件!$M$13</f>
        <v>0</v>
      </c>
      <c r="Z104" s="507">
        <f>Z94*地域経済性分析・初期条件!$M$13</f>
        <v>0</v>
      </c>
      <c r="AA104" s="507">
        <f>AA94*地域経済性分析・初期条件!$M$13</f>
        <v>0</v>
      </c>
      <c r="AB104" s="507">
        <f>AB94*地域経済性分析・初期条件!$M$13</f>
        <v>0</v>
      </c>
      <c r="AC104" s="507">
        <f>AC94*地域経済性分析・初期条件!$M$13</f>
        <v>0</v>
      </c>
      <c r="AD104" s="507">
        <f>AD94*地域経済性分析・初期条件!$M$13</f>
        <v>0</v>
      </c>
      <c r="AE104" s="507">
        <f>AE94*地域経済性分析・初期条件!$M$13</f>
        <v>0</v>
      </c>
      <c r="AF104" s="507">
        <f>AF94*地域経済性分析・初期条件!$M$13</f>
        <v>0</v>
      </c>
      <c r="AG104" s="507">
        <f>AG94*地域経済性分析・初期条件!$M$13</f>
        <v>0</v>
      </c>
      <c r="AH104" s="507">
        <f>AH94*地域経済性分析・初期条件!$M$13</f>
        <v>0</v>
      </c>
      <c r="AI104" s="548">
        <f>SUM(D104:N104)</f>
        <v>14497399.757036775</v>
      </c>
      <c r="AJ104" s="548">
        <f>SUM(D104:X104)</f>
        <v>14497399.757036775</v>
      </c>
      <c r="AK104" s="510">
        <f>SUM(D104:AH104)</f>
        <v>14497399.757036775</v>
      </c>
    </row>
    <row r="105" spans="1:37" ht="11.5" x14ac:dyDescent="0.25">
      <c r="A105" s="546"/>
      <c r="B105" s="452" t="s">
        <v>346</v>
      </c>
      <c r="C105" s="465" t="s">
        <v>37</v>
      </c>
      <c r="D105" s="507">
        <f>D94*地域経済性分析・初期条件!$N$13</f>
        <v>3316954.9002376059</v>
      </c>
      <c r="E105" s="507">
        <f>E94*地域経済性分析・初期条件!$N$13</f>
        <v>0</v>
      </c>
      <c r="F105" s="507">
        <f>F94*地域経済性分析・初期条件!$N$13</f>
        <v>0</v>
      </c>
      <c r="G105" s="507">
        <f>G94*地域経済性分析・初期条件!$N$13</f>
        <v>0</v>
      </c>
      <c r="H105" s="507">
        <f>H94*地域経済性分析・初期条件!$N$13</f>
        <v>0</v>
      </c>
      <c r="I105" s="507">
        <f>I94*地域経済性分析・初期条件!$N$13</f>
        <v>0</v>
      </c>
      <c r="J105" s="507">
        <f>J94*地域経済性分析・初期条件!$N$13</f>
        <v>0</v>
      </c>
      <c r="K105" s="507">
        <f>K94*地域経済性分析・初期条件!$N$13</f>
        <v>0</v>
      </c>
      <c r="L105" s="507">
        <f>L94*地域経済性分析・初期条件!$N$13</f>
        <v>0</v>
      </c>
      <c r="M105" s="507">
        <f>M94*地域経済性分析・初期条件!$N$13</f>
        <v>0</v>
      </c>
      <c r="N105" s="507">
        <f>N94*地域経済性分析・初期条件!$N$13</f>
        <v>0</v>
      </c>
      <c r="O105" s="507">
        <f>O94*地域経済性分析・初期条件!$N$13</f>
        <v>0</v>
      </c>
      <c r="P105" s="507">
        <f>P94*地域経済性分析・初期条件!$N$13</f>
        <v>0</v>
      </c>
      <c r="Q105" s="507">
        <f>Q94*地域経済性分析・初期条件!$N$13</f>
        <v>0</v>
      </c>
      <c r="R105" s="507">
        <f>R94*地域経済性分析・初期条件!$N$13</f>
        <v>0</v>
      </c>
      <c r="S105" s="507">
        <f>S94*地域経済性分析・初期条件!$N$13</f>
        <v>0</v>
      </c>
      <c r="T105" s="507">
        <f>T94*地域経済性分析・初期条件!$N$13</f>
        <v>0</v>
      </c>
      <c r="U105" s="507">
        <f>U94*地域経済性分析・初期条件!$N$13</f>
        <v>0</v>
      </c>
      <c r="V105" s="507">
        <f>V94*地域経済性分析・初期条件!$N$13</f>
        <v>0</v>
      </c>
      <c r="W105" s="507">
        <f>W94*地域経済性分析・初期条件!$N$13</f>
        <v>0</v>
      </c>
      <c r="X105" s="507">
        <f>X94*地域経済性分析・初期条件!$N$13</f>
        <v>0</v>
      </c>
      <c r="Y105" s="507">
        <f>Y94*地域経済性分析・初期条件!$N$13</f>
        <v>0</v>
      </c>
      <c r="Z105" s="507">
        <f>Z94*地域経済性分析・初期条件!$N$13</f>
        <v>0</v>
      </c>
      <c r="AA105" s="507">
        <f>AA94*地域経済性分析・初期条件!$N$13</f>
        <v>0</v>
      </c>
      <c r="AB105" s="507">
        <f>AB94*地域経済性分析・初期条件!$N$13</f>
        <v>0</v>
      </c>
      <c r="AC105" s="507">
        <f>AC94*地域経済性分析・初期条件!$N$13</f>
        <v>0</v>
      </c>
      <c r="AD105" s="507">
        <f>AD94*地域経済性分析・初期条件!$N$13</f>
        <v>0</v>
      </c>
      <c r="AE105" s="507">
        <f>AE94*地域経済性分析・初期条件!$N$13</f>
        <v>0</v>
      </c>
      <c r="AF105" s="507">
        <f>AF94*地域経済性分析・初期条件!$N$13</f>
        <v>0</v>
      </c>
      <c r="AG105" s="507">
        <f>AG94*地域経済性分析・初期条件!$N$13</f>
        <v>0</v>
      </c>
      <c r="AH105" s="507">
        <f>AH94*地域経済性分析・初期条件!$N$13</f>
        <v>0</v>
      </c>
      <c r="AI105" s="548">
        <f>SUM(D105:N105)</f>
        <v>3316954.9002376059</v>
      </c>
      <c r="AJ105" s="548">
        <f>SUM(D105:X105)</f>
        <v>3316954.9002376059</v>
      </c>
      <c r="AK105" s="510">
        <f>SUM(D105:AH105)</f>
        <v>3316954.9002376059</v>
      </c>
    </row>
    <row r="106" spans="1:37" ht="11.5" x14ac:dyDescent="0.25">
      <c r="A106" s="546"/>
      <c r="B106" s="452" t="s">
        <v>347</v>
      </c>
      <c r="C106" s="465" t="s">
        <v>37</v>
      </c>
      <c r="D106" s="507">
        <f>D94*地域経済性分析・初期条件!$O$13</f>
        <v>1163261.4633308987</v>
      </c>
      <c r="E106" s="507">
        <f>E94*地域経済性分析・初期条件!$O$13</f>
        <v>0</v>
      </c>
      <c r="F106" s="507">
        <f>F94*地域経済性分析・初期条件!$O$13</f>
        <v>0</v>
      </c>
      <c r="G106" s="507">
        <f>G94*地域経済性分析・初期条件!$O$13</f>
        <v>0</v>
      </c>
      <c r="H106" s="507">
        <f>H94*地域経済性分析・初期条件!$O$13</f>
        <v>0</v>
      </c>
      <c r="I106" s="507">
        <f>I94*地域経済性分析・初期条件!$O$13</f>
        <v>0</v>
      </c>
      <c r="J106" s="507">
        <f>J94*地域経済性分析・初期条件!$O$13</f>
        <v>0</v>
      </c>
      <c r="K106" s="507">
        <f>K94*地域経済性分析・初期条件!$O$13</f>
        <v>0</v>
      </c>
      <c r="L106" s="507">
        <f>L94*地域経済性分析・初期条件!$O$13</f>
        <v>0</v>
      </c>
      <c r="M106" s="507">
        <f>M94*地域経済性分析・初期条件!$O$13</f>
        <v>0</v>
      </c>
      <c r="N106" s="507">
        <f>N94*地域経済性分析・初期条件!$O$13</f>
        <v>0</v>
      </c>
      <c r="O106" s="507">
        <f>O94*地域経済性分析・初期条件!$O$13</f>
        <v>0</v>
      </c>
      <c r="P106" s="507">
        <f>P94*地域経済性分析・初期条件!$O$13</f>
        <v>0</v>
      </c>
      <c r="Q106" s="507">
        <f>Q94*地域経済性分析・初期条件!$O$13</f>
        <v>0</v>
      </c>
      <c r="R106" s="507">
        <f>R94*地域経済性分析・初期条件!$O$13</f>
        <v>0</v>
      </c>
      <c r="S106" s="507">
        <f>S94*地域経済性分析・初期条件!$O$13</f>
        <v>0</v>
      </c>
      <c r="T106" s="507">
        <f>T94*地域経済性分析・初期条件!$O$13</f>
        <v>0</v>
      </c>
      <c r="U106" s="507">
        <f>U94*地域経済性分析・初期条件!$O$13</f>
        <v>0</v>
      </c>
      <c r="V106" s="507">
        <f>V94*地域経済性分析・初期条件!$O$13</f>
        <v>0</v>
      </c>
      <c r="W106" s="507">
        <f>W94*地域経済性分析・初期条件!$O$13</f>
        <v>0</v>
      </c>
      <c r="X106" s="507">
        <f>X94*地域経済性分析・初期条件!$O$13</f>
        <v>0</v>
      </c>
      <c r="Y106" s="507">
        <f>Y94*地域経済性分析・初期条件!$O$13</f>
        <v>0</v>
      </c>
      <c r="Z106" s="507">
        <f>Z94*地域経済性分析・初期条件!$O$13</f>
        <v>0</v>
      </c>
      <c r="AA106" s="507">
        <f>AA94*地域経済性分析・初期条件!$O$13</f>
        <v>0</v>
      </c>
      <c r="AB106" s="507">
        <f>AB94*地域経済性分析・初期条件!$O$13</f>
        <v>0</v>
      </c>
      <c r="AC106" s="507">
        <f>AC94*地域経済性分析・初期条件!$O$13</f>
        <v>0</v>
      </c>
      <c r="AD106" s="507">
        <f>AD94*地域経済性分析・初期条件!$O$13</f>
        <v>0</v>
      </c>
      <c r="AE106" s="507">
        <f>AE94*地域経済性分析・初期条件!$O$13</f>
        <v>0</v>
      </c>
      <c r="AF106" s="507">
        <f>AF94*地域経済性分析・初期条件!$O$13</f>
        <v>0</v>
      </c>
      <c r="AG106" s="507">
        <f>AG94*地域経済性分析・初期条件!$O$13</f>
        <v>0</v>
      </c>
      <c r="AH106" s="507">
        <f>AH94*地域経済性分析・初期条件!$O$13</f>
        <v>0</v>
      </c>
      <c r="AI106" s="548">
        <f>SUM(D106:N106)</f>
        <v>1163261.4633308987</v>
      </c>
      <c r="AJ106" s="548">
        <f>SUM(D106:X106)</f>
        <v>1163261.4633308987</v>
      </c>
      <c r="AK106" s="510">
        <f>SUM(D106:AH106)</f>
        <v>1163261.4633308987</v>
      </c>
    </row>
    <row r="107" spans="1:37" ht="11.5" x14ac:dyDescent="0.25">
      <c r="A107" s="502">
        <f>地域経済性分析・初期条件!$G$14</f>
        <v>0</v>
      </c>
      <c r="C107" s="465"/>
      <c r="D107" s="507"/>
      <c r="E107" s="507"/>
      <c r="F107" s="507"/>
      <c r="G107" s="507"/>
      <c r="H107" s="507"/>
      <c r="I107" s="507"/>
      <c r="J107" s="507"/>
      <c r="K107" s="507"/>
      <c r="L107" s="507"/>
      <c r="M107" s="507"/>
      <c r="N107" s="507"/>
      <c r="O107" s="507"/>
      <c r="P107" s="507"/>
      <c r="Q107" s="507"/>
      <c r="R107" s="507"/>
      <c r="S107" s="507"/>
      <c r="T107" s="507"/>
      <c r="U107" s="507"/>
      <c r="V107" s="507"/>
      <c r="W107" s="507"/>
      <c r="X107" s="507"/>
      <c r="Y107" s="507"/>
      <c r="Z107" s="507"/>
      <c r="AA107" s="507"/>
      <c r="AB107" s="507"/>
      <c r="AC107" s="507"/>
      <c r="AD107" s="507"/>
      <c r="AE107" s="507"/>
      <c r="AF107" s="507"/>
      <c r="AG107" s="507"/>
      <c r="AH107" s="507"/>
      <c r="AI107" s="548"/>
      <c r="AJ107" s="548"/>
      <c r="AK107" s="510"/>
    </row>
    <row r="108" spans="1:37" ht="11.5" x14ac:dyDescent="0.25">
      <c r="A108" s="546" t="str">
        <f>A107&amp;B108</f>
        <v>0売上（税別）</v>
      </c>
      <c r="B108" s="452" t="s">
        <v>1047</v>
      </c>
      <c r="C108" s="464" t="s">
        <v>37</v>
      </c>
      <c r="D108" s="507">
        <f>D92*地域経済性分析・初期条件!$F$14</f>
        <v>0</v>
      </c>
      <c r="E108" s="507">
        <f>E92*地域経済性分析・初期条件!$F$14</f>
        <v>0</v>
      </c>
      <c r="F108" s="507">
        <f>F92*地域経済性分析・初期条件!$F$14</f>
        <v>0</v>
      </c>
      <c r="G108" s="507">
        <f>G92*地域経済性分析・初期条件!$F$14</f>
        <v>0</v>
      </c>
      <c r="H108" s="507">
        <f>H92*地域経済性分析・初期条件!$F$14</f>
        <v>0</v>
      </c>
      <c r="I108" s="507">
        <f>I92*地域経済性分析・初期条件!$F$14</f>
        <v>0</v>
      </c>
      <c r="J108" s="507">
        <f>J92*地域経済性分析・初期条件!$F$14</f>
        <v>0</v>
      </c>
      <c r="K108" s="507">
        <f>K92*地域経済性分析・初期条件!$F$14</f>
        <v>0</v>
      </c>
      <c r="L108" s="507">
        <f>L92*地域経済性分析・初期条件!$F$14</f>
        <v>0</v>
      </c>
      <c r="M108" s="507">
        <f>M92*地域経済性分析・初期条件!$F$14</f>
        <v>0</v>
      </c>
      <c r="N108" s="507">
        <f>N92*地域経済性分析・初期条件!$F$14</f>
        <v>0</v>
      </c>
      <c r="O108" s="507">
        <f>O92*地域経済性分析・初期条件!$F$14</f>
        <v>0</v>
      </c>
      <c r="P108" s="507">
        <f>P92*地域経済性分析・初期条件!$F$14</f>
        <v>0</v>
      </c>
      <c r="Q108" s="507">
        <f>Q92*地域経済性分析・初期条件!$F$14</f>
        <v>0</v>
      </c>
      <c r="R108" s="507">
        <f>R92*地域経済性分析・初期条件!$F$14</f>
        <v>0</v>
      </c>
      <c r="S108" s="507">
        <f>S92*地域経済性分析・初期条件!$F$14</f>
        <v>0</v>
      </c>
      <c r="T108" s="507">
        <f>T92*地域経済性分析・初期条件!$F$14</f>
        <v>0</v>
      </c>
      <c r="U108" s="507">
        <f>U92*地域経済性分析・初期条件!$F$14</f>
        <v>0</v>
      </c>
      <c r="V108" s="507">
        <f>V92*地域経済性分析・初期条件!$F$14</f>
        <v>0</v>
      </c>
      <c r="W108" s="507">
        <f>W92*地域経済性分析・初期条件!$F$14</f>
        <v>0</v>
      </c>
      <c r="X108" s="507">
        <f>X92*地域経済性分析・初期条件!$F$14</f>
        <v>0</v>
      </c>
      <c r="Y108" s="507">
        <f>Y92*地域経済性分析・初期条件!$F$14</f>
        <v>0</v>
      </c>
      <c r="Z108" s="507">
        <f>Z92*地域経済性分析・初期条件!$F$14</f>
        <v>0</v>
      </c>
      <c r="AA108" s="507">
        <f>AA92*地域経済性分析・初期条件!$F$14</f>
        <v>0</v>
      </c>
      <c r="AB108" s="507">
        <f>AB92*地域経済性分析・初期条件!$F$14</f>
        <v>0</v>
      </c>
      <c r="AC108" s="507">
        <f>AC92*地域経済性分析・初期条件!$F$14</f>
        <v>0</v>
      </c>
      <c r="AD108" s="507">
        <f>AD92*地域経済性分析・初期条件!$F$14</f>
        <v>0</v>
      </c>
      <c r="AE108" s="507">
        <f>AE92*地域経済性分析・初期条件!$F$14</f>
        <v>0</v>
      </c>
      <c r="AF108" s="507">
        <f>AF92*地域経済性分析・初期条件!$F$14</f>
        <v>0</v>
      </c>
      <c r="AG108" s="507">
        <f>AG92*地域経済性分析・初期条件!$F$14</f>
        <v>0</v>
      </c>
      <c r="AH108" s="507">
        <f>AH92*地域経済性分析・初期条件!$F$14</f>
        <v>0</v>
      </c>
      <c r="AI108" s="548">
        <f t="shared" ref="AI108:AI116" si="43">SUM(D108:N108)</f>
        <v>0</v>
      </c>
      <c r="AJ108" s="548">
        <f>SUM(D108:X108)</f>
        <v>0</v>
      </c>
      <c r="AK108" s="510">
        <f>SUM(D108:AH108)</f>
        <v>0</v>
      </c>
    </row>
    <row r="109" spans="1:37" ht="11.5" x14ac:dyDescent="0.25">
      <c r="A109" s="546"/>
      <c r="B109" s="452" t="s">
        <v>263</v>
      </c>
      <c r="C109" s="464" t="s">
        <v>37</v>
      </c>
      <c r="D109" s="507">
        <f>D108*波及効果シート!$D$72</f>
        <v>0</v>
      </c>
      <c r="E109" s="507">
        <f>E108*波及効果シート!$D$72</f>
        <v>0</v>
      </c>
      <c r="F109" s="507">
        <f>F108*波及効果シート!$D$72</f>
        <v>0</v>
      </c>
      <c r="G109" s="507">
        <f>G108*波及効果シート!$D$72</f>
        <v>0</v>
      </c>
      <c r="H109" s="507">
        <f>H108*波及効果シート!$D$72</f>
        <v>0</v>
      </c>
      <c r="I109" s="507">
        <f>I108*波及効果シート!$D$72</f>
        <v>0</v>
      </c>
      <c r="J109" s="507">
        <f>J108*波及効果シート!$D$72</f>
        <v>0</v>
      </c>
      <c r="K109" s="507">
        <f>K108*波及効果シート!$D$72</f>
        <v>0</v>
      </c>
      <c r="L109" s="507">
        <f>L108*波及効果シート!$D$72</f>
        <v>0</v>
      </c>
      <c r="M109" s="507">
        <f>M108*波及効果シート!$D$72</f>
        <v>0</v>
      </c>
      <c r="N109" s="507">
        <f>N108*波及効果シート!$D$72</f>
        <v>0</v>
      </c>
      <c r="O109" s="507">
        <f>O108*波及効果シート!$D$72</f>
        <v>0</v>
      </c>
      <c r="P109" s="507">
        <f>P108*波及効果シート!$D$72</f>
        <v>0</v>
      </c>
      <c r="Q109" s="507">
        <f>Q108*波及効果シート!$D$72</f>
        <v>0</v>
      </c>
      <c r="R109" s="507">
        <f>R108*波及効果シート!$D$72</f>
        <v>0</v>
      </c>
      <c r="S109" s="507">
        <f>S108*波及効果シート!$D$72</f>
        <v>0</v>
      </c>
      <c r="T109" s="507">
        <f>T108*波及効果シート!$D$72</f>
        <v>0</v>
      </c>
      <c r="U109" s="507">
        <f>U108*波及効果シート!$D$72</f>
        <v>0</v>
      </c>
      <c r="V109" s="507">
        <f>V108*波及効果シート!$D$72</f>
        <v>0</v>
      </c>
      <c r="W109" s="507">
        <f>W108*波及効果シート!$D$72</f>
        <v>0</v>
      </c>
      <c r="X109" s="507">
        <f>X108*波及効果シート!$D$72</f>
        <v>0</v>
      </c>
      <c r="Y109" s="507">
        <f>Y108*波及効果シート!$D$72</f>
        <v>0</v>
      </c>
      <c r="Z109" s="507">
        <f>Z108*波及効果シート!$D$72</f>
        <v>0</v>
      </c>
      <c r="AA109" s="507">
        <f>AA108*波及効果シート!$D$72</f>
        <v>0</v>
      </c>
      <c r="AB109" s="507">
        <f>AB108*波及効果シート!$D$72</f>
        <v>0</v>
      </c>
      <c r="AC109" s="507">
        <f>AC108*波及効果シート!$D$72</f>
        <v>0</v>
      </c>
      <c r="AD109" s="507">
        <f>AD108*波及効果シート!$D$72</f>
        <v>0</v>
      </c>
      <c r="AE109" s="507">
        <f>AE108*波及効果シート!$D$72</f>
        <v>0</v>
      </c>
      <c r="AF109" s="507">
        <f>AF108*波及効果シート!$D$72</f>
        <v>0</v>
      </c>
      <c r="AG109" s="507">
        <f>AG108*波及効果シート!$D$72</f>
        <v>0</v>
      </c>
      <c r="AH109" s="507">
        <f>AH108*波及効果シート!$D$72</f>
        <v>0</v>
      </c>
      <c r="AI109" s="548">
        <f t="shared" si="43"/>
        <v>0</v>
      </c>
      <c r="AJ109" s="548">
        <f>SUM(D109:X109)</f>
        <v>0</v>
      </c>
      <c r="AK109" s="510">
        <f>SUM(D109:AH109)</f>
        <v>0</v>
      </c>
    </row>
    <row r="110" spans="1:37" ht="11.5" x14ac:dyDescent="0.25">
      <c r="A110" s="546"/>
      <c r="B110" s="452" t="s">
        <v>1048</v>
      </c>
      <c r="C110" s="465" t="s">
        <v>37</v>
      </c>
      <c r="D110" s="507">
        <f>D108*波及効果シート!$D$74</f>
        <v>0</v>
      </c>
      <c r="E110" s="507">
        <f>E108*波及効果シート!$D$74</f>
        <v>0</v>
      </c>
      <c r="F110" s="507">
        <f>F108*波及効果シート!$D$74</f>
        <v>0</v>
      </c>
      <c r="G110" s="507">
        <f>G108*波及効果シート!$D$74</f>
        <v>0</v>
      </c>
      <c r="H110" s="507">
        <f>H108*波及効果シート!$D$74</f>
        <v>0</v>
      </c>
      <c r="I110" s="507">
        <f>I108*波及効果シート!$D$74</f>
        <v>0</v>
      </c>
      <c r="J110" s="507">
        <f>J108*波及効果シート!$D$74</f>
        <v>0</v>
      </c>
      <c r="K110" s="507">
        <f>K108*波及効果シート!$D$74</f>
        <v>0</v>
      </c>
      <c r="L110" s="507">
        <f>L108*波及効果シート!$D$74</f>
        <v>0</v>
      </c>
      <c r="M110" s="507">
        <f>M108*波及効果シート!$D$74</f>
        <v>0</v>
      </c>
      <c r="N110" s="507">
        <f>N108*波及効果シート!$D$74</f>
        <v>0</v>
      </c>
      <c r="O110" s="507">
        <f>O108*波及効果シート!$D$74</f>
        <v>0</v>
      </c>
      <c r="P110" s="507">
        <f>P108*波及効果シート!$D$74</f>
        <v>0</v>
      </c>
      <c r="Q110" s="507">
        <f>Q108*波及効果シート!$D$74</f>
        <v>0</v>
      </c>
      <c r="R110" s="507">
        <f>R108*波及効果シート!$D$74</f>
        <v>0</v>
      </c>
      <c r="S110" s="507">
        <f>S108*波及効果シート!$D$74</f>
        <v>0</v>
      </c>
      <c r="T110" s="507">
        <f>T108*波及効果シート!$D$74</f>
        <v>0</v>
      </c>
      <c r="U110" s="507">
        <f>U108*波及効果シート!$D$74</f>
        <v>0</v>
      </c>
      <c r="V110" s="507">
        <f>V108*波及効果シート!$D$74</f>
        <v>0</v>
      </c>
      <c r="W110" s="507">
        <f>W108*波及効果シート!$D$74</f>
        <v>0</v>
      </c>
      <c r="X110" s="507">
        <f>X108*波及効果シート!$D$74</f>
        <v>0</v>
      </c>
      <c r="Y110" s="507">
        <f>Y108*波及効果シート!$D$74</f>
        <v>0</v>
      </c>
      <c r="Z110" s="507">
        <f>Z108*波及効果シート!$D$74</f>
        <v>0</v>
      </c>
      <c r="AA110" s="507">
        <f>AA108*波及効果シート!$D$74</f>
        <v>0</v>
      </c>
      <c r="AB110" s="507">
        <f>AB108*波及効果シート!$D$74</f>
        <v>0</v>
      </c>
      <c r="AC110" s="507">
        <f>AC108*波及効果シート!$D$74</f>
        <v>0</v>
      </c>
      <c r="AD110" s="507">
        <f>AD108*波及効果シート!$D$74</f>
        <v>0</v>
      </c>
      <c r="AE110" s="507">
        <f>AE108*波及効果シート!$D$74</f>
        <v>0</v>
      </c>
      <c r="AF110" s="507">
        <f>AF108*波及効果シート!$D$74</f>
        <v>0</v>
      </c>
      <c r="AG110" s="507">
        <f>AG108*波及効果シート!$D$74</f>
        <v>0</v>
      </c>
      <c r="AH110" s="507">
        <f>AH108*波及効果シート!$D$74</f>
        <v>0</v>
      </c>
      <c r="AI110" s="548">
        <f t="shared" si="43"/>
        <v>0</v>
      </c>
      <c r="AJ110" s="548">
        <f>SUM(D110:X110)</f>
        <v>0</v>
      </c>
      <c r="AK110" s="510">
        <f>SUM(D110:AH110)</f>
        <v>0</v>
      </c>
    </row>
    <row r="111" spans="1:37" ht="11.5" x14ac:dyDescent="0.25">
      <c r="A111" s="546"/>
      <c r="B111" s="452" t="s">
        <v>356</v>
      </c>
      <c r="C111" s="465" t="s">
        <v>37</v>
      </c>
      <c r="D111" s="507">
        <f>D108*地域経済性分析・初期条件!$P$14</f>
        <v>0</v>
      </c>
      <c r="E111" s="507">
        <f>E108*地域経済性分析・初期条件!$P$14</f>
        <v>0</v>
      </c>
      <c r="F111" s="507">
        <f>F108*地域経済性分析・初期条件!$P$14</f>
        <v>0</v>
      </c>
      <c r="G111" s="507">
        <f>G108*地域経済性分析・初期条件!$P$14</f>
        <v>0</v>
      </c>
      <c r="H111" s="507">
        <f>H108*地域経済性分析・初期条件!$P$14</f>
        <v>0</v>
      </c>
      <c r="I111" s="507">
        <f>I108*地域経済性分析・初期条件!$P$14</f>
        <v>0</v>
      </c>
      <c r="J111" s="507">
        <f>J108*地域経済性分析・初期条件!$P$14</f>
        <v>0</v>
      </c>
      <c r="K111" s="507">
        <f>K108*地域経済性分析・初期条件!$P$14</f>
        <v>0</v>
      </c>
      <c r="L111" s="507">
        <f>L108*地域経済性分析・初期条件!$P$14</f>
        <v>0</v>
      </c>
      <c r="M111" s="507">
        <f>M108*地域経済性分析・初期条件!$P$14</f>
        <v>0</v>
      </c>
      <c r="N111" s="507">
        <f>N108*地域経済性分析・初期条件!$P$14</f>
        <v>0</v>
      </c>
      <c r="O111" s="507">
        <f>O108*地域経済性分析・初期条件!$P$14</f>
        <v>0</v>
      </c>
      <c r="P111" s="507">
        <f>P108*地域経済性分析・初期条件!$P$14</f>
        <v>0</v>
      </c>
      <c r="Q111" s="507">
        <f>Q108*地域経済性分析・初期条件!$P$14</f>
        <v>0</v>
      </c>
      <c r="R111" s="507">
        <f>R108*地域経済性分析・初期条件!$P$14</f>
        <v>0</v>
      </c>
      <c r="S111" s="507">
        <f>S108*地域経済性分析・初期条件!$P$14</f>
        <v>0</v>
      </c>
      <c r="T111" s="507">
        <f>T108*地域経済性分析・初期条件!$P$14</f>
        <v>0</v>
      </c>
      <c r="U111" s="507">
        <f>U108*地域経済性分析・初期条件!$P$14</f>
        <v>0</v>
      </c>
      <c r="V111" s="507">
        <f>V108*地域経済性分析・初期条件!$P$14</f>
        <v>0</v>
      </c>
      <c r="W111" s="507">
        <f>W108*地域経済性分析・初期条件!$P$14</f>
        <v>0</v>
      </c>
      <c r="X111" s="507">
        <f>X108*地域経済性分析・初期条件!$P$14</f>
        <v>0</v>
      </c>
      <c r="Y111" s="507">
        <f>Y108*地域経済性分析・初期条件!$P$14</f>
        <v>0</v>
      </c>
      <c r="Z111" s="507">
        <f>Z108*地域経済性分析・初期条件!$P$14</f>
        <v>0</v>
      </c>
      <c r="AA111" s="507">
        <f>AA108*地域経済性分析・初期条件!$P$14</f>
        <v>0</v>
      </c>
      <c r="AB111" s="507">
        <f>AB108*地域経済性分析・初期条件!$P$14</f>
        <v>0</v>
      </c>
      <c r="AC111" s="507">
        <f>AC108*地域経済性分析・初期条件!$P$14</f>
        <v>0</v>
      </c>
      <c r="AD111" s="507">
        <f>AD108*地域経済性分析・初期条件!$P$14</f>
        <v>0</v>
      </c>
      <c r="AE111" s="507">
        <f>AE108*地域経済性分析・初期条件!$P$14</f>
        <v>0</v>
      </c>
      <c r="AF111" s="507">
        <f>AF108*地域経済性分析・初期条件!$P$14</f>
        <v>0</v>
      </c>
      <c r="AG111" s="507">
        <f>AG108*地域経済性分析・初期条件!$P$14</f>
        <v>0</v>
      </c>
      <c r="AH111" s="507">
        <f>AH108*地域経済性分析・初期条件!$P$14</f>
        <v>0</v>
      </c>
      <c r="AI111" s="548">
        <f t="shared" si="43"/>
        <v>0</v>
      </c>
      <c r="AJ111" s="548">
        <f>SUM(D111:X111)</f>
        <v>0</v>
      </c>
      <c r="AK111" s="510">
        <f>SUM(D111:AH111)</f>
        <v>0</v>
      </c>
    </row>
    <row r="112" spans="1:37" ht="11.5" x14ac:dyDescent="0.25">
      <c r="A112" s="546"/>
      <c r="B112" s="452" t="s">
        <v>355</v>
      </c>
      <c r="C112" s="465" t="s">
        <v>37</v>
      </c>
      <c r="D112" s="507">
        <f>D108*地域経済性分析・初期条件!$Q$14</f>
        <v>0</v>
      </c>
      <c r="E112" s="507">
        <f>E108*地域経済性分析・初期条件!$Q$14</f>
        <v>0</v>
      </c>
      <c r="F112" s="507">
        <f>F108*地域経済性分析・初期条件!$Q$14</f>
        <v>0</v>
      </c>
      <c r="G112" s="507">
        <f>G108*地域経済性分析・初期条件!$Q$14</f>
        <v>0</v>
      </c>
      <c r="H112" s="507">
        <f>H108*地域経済性分析・初期条件!$Q$14</f>
        <v>0</v>
      </c>
      <c r="I112" s="507">
        <f>I108*地域経済性分析・初期条件!$Q$14</f>
        <v>0</v>
      </c>
      <c r="J112" s="507">
        <f>J108*地域経済性分析・初期条件!$Q$14</f>
        <v>0</v>
      </c>
      <c r="K112" s="507">
        <f>K108*地域経済性分析・初期条件!$Q$14</f>
        <v>0</v>
      </c>
      <c r="L112" s="507">
        <f>L108*地域経済性分析・初期条件!$Q$14</f>
        <v>0</v>
      </c>
      <c r="M112" s="507">
        <f>M108*地域経済性分析・初期条件!$Q$14</f>
        <v>0</v>
      </c>
      <c r="N112" s="507">
        <f>N108*地域経済性分析・初期条件!$Q$14</f>
        <v>0</v>
      </c>
      <c r="O112" s="507">
        <f>O108*地域経済性分析・初期条件!$Q$14</f>
        <v>0</v>
      </c>
      <c r="P112" s="507">
        <f>P108*地域経済性分析・初期条件!$Q$14</f>
        <v>0</v>
      </c>
      <c r="Q112" s="507">
        <f>Q108*地域経済性分析・初期条件!$Q$14</f>
        <v>0</v>
      </c>
      <c r="R112" s="507">
        <f>R108*地域経済性分析・初期条件!$Q$14</f>
        <v>0</v>
      </c>
      <c r="S112" s="507">
        <f>S108*地域経済性分析・初期条件!$Q$14</f>
        <v>0</v>
      </c>
      <c r="T112" s="507">
        <f>T108*地域経済性分析・初期条件!$Q$14</f>
        <v>0</v>
      </c>
      <c r="U112" s="507">
        <f>U108*地域経済性分析・初期条件!$Q$14</f>
        <v>0</v>
      </c>
      <c r="V112" s="507">
        <f>V108*地域経済性分析・初期条件!$Q$14</f>
        <v>0</v>
      </c>
      <c r="W112" s="507">
        <f>W108*地域経済性分析・初期条件!$Q$14</f>
        <v>0</v>
      </c>
      <c r="X112" s="507">
        <f>X108*地域経済性分析・初期条件!$Q$14</f>
        <v>0</v>
      </c>
      <c r="Y112" s="507">
        <f>Y108*地域経済性分析・初期条件!$Q$14</f>
        <v>0</v>
      </c>
      <c r="Z112" s="507">
        <f>Z108*地域経済性分析・初期条件!$Q$14</f>
        <v>0</v>
      </c>
      <c r="AA112" s="507">
        <f>AA108*地域経済性分析・初期条件!$Q$14</f>
        <v>0</v>
      </c>
      <c r="AB112" s="507">
        <f>AB108*地域経済性分析・初期条件!$Q$14</f>
        <v>0</v>
      </c>
      <c r="AC112" s="507">
        <f>AC108*地域経済性分析・初期条件!$Q$14</f>
        <v>0</v>
      </c>
      <c r="AD112" s="507">
        <f>AD108*地域経済性分析・初期条件!$Q$14</f>
        <v>0</v>
      </c>
      <c r="AE112" s="507">
        <f>AE108*地域経済性分析・初期条件!$Q$14</f>
        <v>0</v>
      </c>
      <c r="AF112" s="507">
        <f>AF108*地域経済性分析・初期条件!$Q$14</f>
        <v>0</v>
      </c>
      <c r="AG112" s="507">
        <f>AG108*地域経済性分析・初期条件!$Q$14</f>
        <v>0</v>
      </c>
      <c r="AH112" s="507">
        <f>AH108*地域経済性分析・初期条件!$Q$14</f>
        <v>0</v>
      </c>
      <c r="AI112" s="548">
        <f t="shared" si="43"/>
        <v>0</v>
      </c>
      <c r="AJ112" s="548">
        <f>SUM(D112:X112)</f>
        <v>0</v>
      </c>
      <c r="AK112" s="510">
        <f>SUM(D112:AH112)</f>
        <v>0</v>
      </c>
    </row>
    <row r="113" spans="1:37" ht="11.5" x14ac:dyDescent="0.25">
      <c r="A113" s="546" t="str">
        <f>A107&amp;B113</f>
        <v>0従業員の可処分所得（一次）</v>
      </c>
      <c r="B113" s="452" t="s">
        <v>339</v>
      </c>
      <c r="C113" s="464" t="s">
        <v>37</v>
      </c>
      <c r="D113" s="507">
        <f>D108*地域経済性分析・初期条件!$H$14</f>
        <v>0</v>
      </c>
      <c r="E113" s="507">
        <f>E108*地域経済性分析・初期条件!$H$14</f>
        <v>0</v>
      </c>
      <c r="F113" s="507">
        <f>F108*地域経済性分析・初期条件!$H$14</f>
        <v>0</v>
      </c>
      <c r="G113" s="507">
        <f>G108*地域経済性分析・初期条件!$H$14</f>
        <v>0</v>
      </c>
      <c r="H113" s="507">
        <f>H108*地域経済性分析・初期条件!$H$14</f>
        <v>0</v>
      </c>
      <c r="I113" s="507">
        <f>I108*地域経済性分析・初期条件!$H$14</f>
        <v>0</v>
      </c>
      <c r="J113" s="507">
        <f>J108*地域経済性分析・初期条件!$H$14</f>
        <v>0</v>
      </c>
      <c r="K113" s="507">
        <f>K108*地域経済性分析・初期条件!$H$14</f>
        <v>0</v>
      </c>
      <c r="L113" s="507">
        <f>L108*地域経済性分析・初期条件!$H$14</f>
        <v>0</v>
      </c>
      <c r="M113" s="507">
        <f>M108*地域経済性分析・初期条件!$H$14</f>
        <v>0</v>
      </c>
      <c r="N113" s="507">
        <f>N108*地域経済性分析・初期条件!$H$14</f>
        <v>0</v>
      </c>
      <c r="O113" s="507">
        <f>O108*地域経済性分析・初期条件!$H$14</f>
        <v>0</v>
      </c>
      <c r="P113" s="507">
        <f>P108*地域経済性分析・初期条件!$H$14</f>
        <v>0</v>
      </c>
      <c r="Q113" s="507">
        <f>Q108*地域経済性分析・初期条件!$H$14</f>
        <v>0</v>
      </c>
      <c r="R113" s="507">
        <f>R108*地域経済性分析・初期条件!$H$14</f>
        <v>0</v>
      </c>
      <c r="S113" s="507">
        <f>S108*地域経済性分析・初期条件!$H$14</f>
        <v>0</v>
      </c>
      <c r="T113" s="507">
        <f>T108*地域経済性分析・初期条件!$H$14</f>
        <v>0</v>
      </c>
      <c r="U113" s="507">
        <f>U108*地域経済性分析・初期条件!$H$14</f>
        <v>0</v>
      </c>
      <c r="V113" s="507">
        <f>V108*地域経済性分析・初期条件!$H$14</f>
        <v>0</v>
      </c>
      <c r="W113" s="507">
        <f>W108*地域経済性分析・初期条件!$H$14</f>
        <v>0</v>
      </c>
      <c r="X113" s="507">
        <f>X108*地域経済性分析・初期条件!$H$14</f>
        <v>0</v>
      </c>
      <c r="Y113" s="507">
        <f>Y108*地域経済性分析・初期条件!$H$14</f>
        <v>0</v>
      </c>
      <c r="Z113" s="507">
        <f>Z108*地域経済性分析・初期条件!$H$14</f>
        <v>0</v>
      </c>
      <c r="AA113" s="507">
        <f>AA108*地域経済性分析・初期条件!$H$14</f>
        <v>0</v>
      </c>
      <c r="AB113" s="507">
        <f>AB108*地域経済性分析・初期条件!$H$14</f>
        <v>0</v>
      </c>
      <c r="AC113" s="507">
        <f>AC108*地域経済性分析・初期条件!$H$14</f>
        <v>0</v>
      </c>
      <c r="AD113" s="507">
        <f>AD108*地域経済性分析・初期条件!$H$14</f>
        <v>0</v>
      </c>
      <c r="AE113" s="507">
        <f>AE108*地域経済性分析・初期条件!$H$14</f>
        <v>0</v>
      </c>
      <c r="AF113" s="507">
        <f>AF108*地域経済性分析・初期条件!$H$14</f>
        <v>0</v>
      </c>
      <c r="AG113" s="507">
        <f>AG108*地域経済性分析・初期条件!$H$14</f>
        <v>0</v>
      </c>
      <c r="AH113" s="507">
        <f>AH108*地域経済性分析・初期条件!$H$14</f>
        <v>0</v>
      </c>
      <c r="AI113" s="548">
        <f t="shared" si="43"/>
        <v>0</v>
      </c>
      <c r="AJ113" s="548">
        <f t="shared" ref="AJ113:AJ120" si="44">SUM(D113:X113)</f>
        <v>0</v>
      </c>
      <c r="AK113" s="510">
        <f t="shared" ref="AK113:AK120" si="45">SUM(D113:AH113)</f>
        <v>0</v>
      </c>
    </row>
    <row r="114" spans="1:37" ht="11.5" x14ac:dyDescent="0.25">
      <c r="A114" s="546" t="str">
        <f>A107&amp;B114</f>
        <v>0企業の税引後利益（一次）</v>
      </c>
      <c r="B114" s="452" t="s">
        <v>340</v>
      </c>
      <c r="C114" s="464" t="s">
        <v>37</v>
      </c>
      <c r="D114" s="507">
        <f>D108*地域経済性分析・初期条件!$I$14</f>
        <v>0</v>
      </c>
      <c r="E114" s="507">
        <f>E108*地域経済性分析・初期条件!$I$14</f>
        <v>0</v>
      </c>
      <c r="F114" s="507">
        <f>F108*地域経済性分析・初期条件!$I$14</f>
        <v>0</v>
      </c>
      <c r="G114" s="507">
        <f>G108*地域経済性分析・初期条件!$I$14</f>
        <v>0</v>
      </c>
      <c r="H114" s="507">
        <f>H108*地域経済性分析・初期条件!$I$14</f>
        <v>0</v>
      </c>
      <c r="I114" s="507">
        <f>I108*地域経済性分析・初期条件!$I$14</f>
        <v>0</v>
      </c>
      <c r="J114" s="507">
        <f>J108*地域経済性分析・初期条件!$I$14</f>
        <v>0</v>
      </c>
      <c r="K114" s="507">
        <f>K108*地域経済性分析・初期条件!$I$14</f>
        <v>0</v>
      </c>
      <c r="L114" s="507">
        <f>L108*地域経済性分析・初期条件!$I$14</f>
        <v>0</v>
      </c>
      <c r="M114" s="507">
        <f>M108*地域経済性分析・初期条件!$I$14</f>
        <v>0</v>
      </c>
      <c r="N114" s="507">
        <f>N108*地域経済性分析・初期条件!$I$14</f>
        <v>0</v>
      </c>
      <c r="O114" s="507">
        <f>O108*地域経済性分析・初期条件!$I$14</f>
        <v>0</v>
      </c>
      <c r="P114" s="507">
        <f>P108*地域経済性分析・初期条件!$I$14</f>
        <v>0</v>
      </c>
      <c r="Q114" s="507">
        <f>Q108*地域経済性分析・初期条件!$I$14</f>
        <v>0</v>
      </c>
      <c r="R114" s="507">
        <f>R108*地域経済性分析・初期条件!$I$14</f>
        <v>0</v>
      </c>
      <c r="S114" s="507">
        <f>S108*地域経済性分析・初期条件!$I$14</f>
        <v>0</v>
      </c>
      <c r="T114" s="507">
        <f>T108*地域経済性分析・初期条件!$I$14</f>
        <v>0</v>
      </c>
      <c r="U114" s="507">
        <f>U108*地域経済性分析・初期条件!$I$14</f>
        <v>0</v>
      </c>
      <c r="V114" s="507">
        <f>V108*地域経済性分析・初期条件!$I$14</f>
        <v>0</v>
      </c>
      <c r="W114" s="507">
        <f>W108*地域経済性分析・初期条件!$I$14</f>
        <v>0</v>
      </c>
      <c r="X114" s="507">
        <f>X108*地域経済性分析・初期条件!$I$14</f>
        <v>0</v>
      </c>
      <c r="Y114" s="507">
        <f>Y108*地域経済性分析・初期条件!$I$14</f>
        <v>0</v>
      </c>
      <c r="Z114" s="507">
        <f>Z108*地域経済性分析・初期条件!$I$14</f>
        <v>0</v>
      </c>
      <c r="AA114" s="507">
        <f>AA108*地域経済性分析・初期条件!$I$14</f>
        <v>0</v>
      </c>
      <c r="AB114" s="507">
        <f>AB108*地域経済性分析・初期条件!$I$14</f>
        <v>0</v>
      </c>
      <c r="AC114" s="507">
        <f>AC108*地域経済性分析・初期条件!$I$14</f>
        <v>0</v>
      </c>
      <c r="AD114" s="507">
        <f>AD108*地域経済性分析・初期条件!$I$14</f>
        <v>0</v>
      </c>
      <c r="AE114" s="507">
        <f>AE108*地域経済性分析・初期条件!$I$14</f>
        <v>0</v>
      </c>
      <c r="AF114" s="507">
        <f>AF108*地域経済性分析・初期条件!$I$14</f>
        <v>0</v>
      </c>
      <c r="AG114" s="507">
        <f>AG108*地域経済性分析・初期条件!$I$14</f>
        <v>0</v>
      </c>
      <c r="AH114" s="507">
        <f>AH108*地域経済性分析・初期条件!$I$14</f>
        <v>0</v>
      </c>
      <c r="AI114" s="548">
        <f t="shared" si="43"/>
        <v>0</v>
      </c>
      <c r="AJ114" s="548">
        <f t="shared" si="44"/>
        <v>0</v>
      </c>
      <c r="AK114" s="510">
        <f t="shared" si="45"/>
        <v>0</v>
      </c>
    </row>
    <row r="115" spans="1:37" ht="11.5" x14ac:dyDescent="0.25">
      <c r="A115" s="546" t="str">
        <f>A107&amp;B115</f>
        <v>0都道府県税収（一次）</v>
      </c>
      <c r="B115" s="452" t="s">
        <v>341</v>
      </c>
      <c r="C115" s="464" t="s">
        <v>37</v>
      </c>
      <c r="D115" s="507">
        <f>D108*地域経済性分析・初期条件!$J$14</f>
        <v>0</v>
      </c>
      <c r="E115" s="507">
        <f>E108*地域経済性分析・初期条件!$J$14</f>
        <v>0</v>
      </c>
      <c r="F115" s="507">
        <f>F108*地域経済性分析・初期条件!$J$14</f>
        <v>0</v>
      </c>
      <c r="G115" s="507">
        <f>G108*地域経済性分析・初期条件!$J$14</f>
        <v>0</v>
      </c>
      <c r="H115" s="507">
        <f>H108*地域経済性分析・初期条件!$J$14</f>
        <v>0</v>
      </c>
      <c r="I115" s="507">
        <f>I108*地域経済性分析・初期条件!$J$14</f>
        <v>0</v>
      </c>
      <c r="J115" s="507">
        <f>J108*地域経済性分析・初期条件!$J$14</f>
        <v>0</v>
      </c>
      <c r="K115" s="507">
        <f>K108*地域経済性分析・初期条件!$J$14</f>
        <v>0</v>
      </c>
      <c r="L115" s="507">
        <f>L108*地域経済性分析・初期条件!$J$14</f>
        <v>0</v>
      </c>
      <c r="M115" s="507">
        <f>M108*地域経済性分析・初期条件!$J$14</f>
        <v>0</v>
      </c>
      <c r="N115" s="507">
        <f>N108*地域経済性分析・初期条件!$J$14</f>
        <v>0</v>
      </c>
      <c r="O115" s="507">
        <f>O108*地域経済性分析・初期条件!$J$14</f>
        <v>0</v>
      </c>
      <c r="P115" s="507">
        <f>P108*地域経済性分析・初期条件!$J$14</f>
        <v>0</v>
      </c>
      <c r="Q115" s="507">
        <f>Q108*地域経済性分析・初期条件!$J$14</f>
        <v>0</v>
      </c>
      <c r="R115" s="507">
        <f>R108*地域経済性分析・初期条件!$J$14</f>
        <v>0</v>
      </c>
      <c r="S115" s="507">
        <f>S108*地域経済性分析・初期条件!$J$14</f>
        <v>0</v>
      </c>
      <c r="T115" s="507">
        <f>T108*地域経済性分析・初期条件!$J$14</f>
        <v>0</v>
      </c>
      <c r="U115" s="507">
        <f>U108*地域経済性分析・初期条件!$J$14</f>
        <v>0</v>
      </c>
      <c r="V115" s="507">
        <f>V108*地域経済性分析・初期条件!$J$14</f>
        <v>0</v>
      </c>
      <c r="W115" s="507">
        <f>W108*地域経済性分析・初期条件!$J$14</f>
        <v>0</v>
      </c>
      <c r="X115" s="507">
        <f>X108*地域経済性分析・初期条件!$J$14</f>
        <v>0</v>
      </c>
      <c r="Y115" s="507">
        <f>Y108*地域経済性分析・初期条件!$J$14</f>
        <v>0</v>
      </c>
      <c r="Z115" s="507">
        <f>Z108*地域経済性分析・初期条件!$J$14</f>
        <v>0</v>
      </c>
      <c r="AA115" s="507">
        <f>AA108*地域経済性分析・初期条件!$J$14</f>
        <v>0</v>
      </c>
      <c r="AB115" s="507">
        <f>AB108*地域経済性分析・初期条件!$J$14</f>
        <v>0</v>
      </c>
      <c r="AC115" s="507">
        <f>AC108*地域経済性分析・初期条件!$J$14</f>
        <v>0</v>
      </c>
      <c r="AD115" s="507">
        <f>AD108*地域経済性分析・初期条件!$J$14</f>
        <v>0</v>
      </c>
      <c r="AE115" s="507">
        <f>AE108*地域経済性分析・初期条件!$J$14</f>
        <v>0</v>
      </c>
      <c r="AF115" s="507">
        <f>AF108*地域経済性分析・初期条件!$J$14</f>
        <v>0</v>
      </c>
      <c r="AG115" s="507">
        <f>AG108*地域経済性分析・初期条件!$J$14</f>
        <v>0</v>
      </c>
      <c r="AH115" s="507">
        <f>AH108*地域経済性分析・初期条件!$J$14</f>
        <v>0</v>
      </c>
      <c r="AI115" s="548">
        <f t="shared" si="43"/>
        <v>0</v>
      </c>
      <c r="AJ115" s="548">
        <f t="shared" si="44"/>
        <v>0</v>
      </c>
      <c r="AK115" s="510">
        <f t="shared" si="45"/>
        <v>0</v>
      </c>
    </row>
    <row r="116" spans="1:37" ht="11.5" x14ac:dyDescent="0.25">
      <c r="A116" s="546" t="str">
        <f>A107&amp;B116</f>
        <v>0市町村税収（一次）</v>
      </c>
      <c r="B116" s="452" t="s">
        <v>342</v>
      </c>
      <c r="C116" s="465" t="s">
        <v>37</v>
      </c>
      <c r="D116" s="507">
        <f>D108*地域経済性分析・初期条件!$K$14</f>
        <v>0</v>
      </c>
      <c r="E116" s="507">
        <f>E108*地域経済性分析・初期条件!$K$14</f>
        <v>0</v>
      </c>
      <c r="F116" s="507">
        <f>F108*地域経済性分析・初期条件!$K$14</f>
        <v>0</v>
      </c>
      <c r="G116" s="507">
        <f>G108*地域経済性分析・初期条件!$K$14</f>
        <v>0</v>
      </c>
      <c r="H116" s="507">
        <f>H108*地域経済性分析・初期条件!$K$14</f>
        <v>0</v>
      </c>
      <c r="I116" s="507">
        <f>I108*地域経済性分析・初期条件!$K$14</f>
        <v>0</v>
      </c>
      <c r="J116" s="507">
        <f>J108*地域経済性分析・初期条件!$K$14</f>
        <v>0</v>
      </c>
      <c r="K116" s="507">
        <f>K108*地域経済性分析・初期条件!$K$14</f>
        <v>0</v>
      </c>
      <c r="L116" s="507">
        <f>L108*地域経済性分析・初期条件!$K$14</f>
        <v>0</v>
      </c>
      <c r="M116" s="507">
        <f>M108*地域経済性分析・初期条件!$K$14</f>
        <v>0</v>
      </c>
      <c r="N116" s="507">
        <f>N108*地域経済性分析・初期条件!$K$14</f>
        <v>0</v>
      </c>
      <c r="O116" s="507">
        <f>O108*地域経済性分析・初期条件!$K$14</f>
        <v>0</v>
      </c>
      <c r="P116" s="507">
        <f>P108*地域経済性分析・初期条件!$K$14</f>
        <v>0</v>
      </c>
      <c r="Q116" s="507">
        <f>Q108*地域経済性分析・初期条件!$K$14</f>
        <v>0</v>
      </c>
      <c r="R116" s="507">
        <f>R108*地域経済性分析・初期条件!$K$14</f>
        <v>0</v>
      </c>
      <c r="S116" s="507">
        <f>S108*地域経済性分析・初期条件!$K$14</f>
        <v>0</v>
      </c>
      <c r="T116" s="507">
        <f>T108*地域経済性分析・初期条件!$K$14</f>
        <v>0</v>
      </c>
      <c r="U116" s="507">
        <f>U108*地域経済性分析・初期条件!$K$14</f>
        <v>0</v>
      </c>
      <c r="V116" s="507">
        <f>V108*地域経済性分析・初期条件!$K$14</f>
        <v>0</v>
      </c>
      <c r="W116" s="507">
        <f>W108*地域経済性分析・初期条件!$K$14</f>
        <v>0</v>
      </c>
      <c r="X116" s="507">
        <f>X108*地域経済性分析・初期条件!$K$14</f>
        <v>0</v>
      </c>
      <c r="Y116" s="507">
        <f>Y108*地域経済性分析・初期条件!$K$14</f>
        <v>0</v>
      </c>
      <c r="Z116" s="507">
        <f>Z108*地域経済性分析・初期条件!$K$14</f>
        <v>0</v>
      </c>
      <c r="AA116" s="507">
        <f>AA108*地域経済性分析・初期条件!$K$14</f>
        <v>0</v>
      </c>
      <c r="AB116" s="507">
        <f>AB108*地域経済性分析・初期条件!$K$14</f>
        <v>0</v>
      </c>
      <c r="AC116" s="507">
        <f>AC108*地域経済性分析・初期条件!$K$14</f>
        <v>0</v>
      </c>
      <c r="AD116" s="507">
        <f>AD108*地域経済性分析・初期条件!$K$14</f>
        <v>0</v>
      </c>
      <c r="AE116" s="507">
        <f>AE108*地域経済性分析・初期条件!$K$14</f>
        <v>0</v>
      </c>
      <c r="AF116" s="507">
        <f>AF108*地域経済性分析・初期条件!$K$14</f>
        <v>0</v>
      </c>
      <c r="AG116" s="507">
        <f>AG108*地域経済性分析・初期条件!$K$14</f>
        <v>0</v>
      </c>
      <c r="AH116" s="507">
        <f>AH108*地域経済性分析・初期条件!$K$14</f>
        <v>0</v>
      </c>
      <c r="AI116" s="548">
        <f t="shared" si="43"/>
        <v>0</v>
      </c>
      <c r="AJ116" s="548">
        <f t="shared" si="44"/>
        <v>0</v>
      </c>
      <c r="AK116" s="510">
        <f t="shared" si="45"/>
        <v>0</v>
      </c>
    </row>
    <row r="117" spans="1:37" ht="11.5" x14ac:dyDescent="0.25">
      <c r="A117" s="546"/>
      <c r="B117" s="452" t="s">
        <v>344</v>
      </c>
      <c r="C117" s="465" t="s">
        <v>37</v>
      </c>
      <c r="D117" s="507">
        <f>D108*地域経済性分析・初期条件!$L$14</f>
        <v>0</v>
      </c>
      <c r="E117" s="507">
        <f>E108*地域経済性分析・初期条件!$L$14</f>
        <v>0</v>
      </c>
      <c r="F117" s="507">
        <f>F108*地域経済性分析・初期条件!$L$14</f>
        <v>0</v>
      </c>
      <c r="G117" s="507">
        <f>G108*地域経済性分析・初期条件!$L$14</f>
        <v>0</v>
      </c>
      <c r="H117" s="507">
        <f>H108*地域経済性分析・初期条件!$L$14</f>
        <v>0</v>
      </c>
      <c r="I117" s="507">
        <f>I108*地域経済性分析・初期条件!$L$14</f>
        <v>0</v>
      </c>
      <c r="J117" s="507">
        <f>J108*地域経済性分析・初期条件!$L$14</f>
        <v>0</v>
      </c>
      <c r="K117" s="507">
        <f>K108*地域経済性分析・初期条件!$L$14</f>
        <v>0</v>
      </c>
      <c r="L117" s="507">
        <f>L108*地域経済性分析・初期条件!$L$14</f>
        <v>0</v>
      </c>
      <c r="M117" s="507">
        <f>M108*地域経済性分析・初期条件!$L$14</f>
        <v>0</v>
      </c>
      <c r="N117" s="507">
        <f>N108*地域経済性分析・初期条件!$L$14</f>
        <v>0</v>
      </c>
      <c r="O117" s="507">
        <f>O108*地域経済性分析・初期条件!$L$14</f>
        <v>0</v>
      </c>
      <c r="P117" s="507">
        <f>P108*地域経済性分析・初期条件!$L$14</f>
        <v>0</v>
      </c>
      <c r="Q117" s="507">
        <f>Q108*地域経済性分析・初期条件!$L$14</f>
        <v>0</v>
      </c>
      <c r="R117" s="507">
        <f>R108*地域経済性分析・初期条件!$L$14</f>
        <v>0</v>
      </c>
      <c r="S117" s="507">
        <f>S108*地域経済性分析・初期条件!$L$14</f>
        <v>0</v>
      </c>
      <c r="T117" s="507">
        <f>T108*地域経済性分析・初期条件!$L$14</f>
        <v>0</v>
      </c>
      <c r="U117" s="507">
        <f>U108*地域経済性分析・初期条件!$L$14</f>
        <v>0</v>
      </c>
      <c r="V117" s="507">
        <f>V108*地域経済性分析・初期条件!$L$14</f>
        <v>0</v>
      </c>
      <c r="W117" s="507">
        <f>W108*地域経済性分析・初期条件!$L$14</f>
        <v>0</v>
      </c>
      <c r="X117" s="507">
        <f>X108*地域経済性分析・初期条件!$L$14</f>
        <v>0</v>
      </c>
      <c r="Y117" s="507">
        <f>Y108*地域経済性分析・初期条件!$L$14</f>
        <v>0</v>
      </c>
      <c r="Z117" s="507">
        <f>Z108*地域経済性分析・初期条件!$L$14</f>
        <v>0</v>
      </c>
      <c r="AA117" s="507">
        <f>AA108*地域経済性分析・初期条件!$L$14</f>
        <v>0</v>
      </c>
      <c r="AB117" s="507">
        <f>AB108*地域経済性分析・初期条件!$L$14</f>
        <v>0</v>
      </c>
      <c r="AC117" s="507">
        <f>AC108*地域経済性分析・初期条件!$L$14</f>
        <v>0</v>
      </c>
      <c r="AD117" s="507">
        <f>AD108*地域経済性分析・初期条件!$L$14</f>
        <v>0</v>
      </c>
      <c r="AE117" s="507">
        <f>AE108*地域経済性分析・初期条件!$L$14</f>
        <v>0</v>
      </c>
      <c r="AF117" s="507">
        <f>AF108*地域経済性分析・初期条件!$L$14</f>
        <v>0</v>
      </c>
      <c r="AG117" s="507">
        <f>AG108*地域経済性分析・初期条件!$L$14</f>
        <v>0</v>
      </c>
      <c r="AH117" s="507">
        <f>AH108*地域経済性分析・初期条件!$L$14</f>
        <v>0</v>
      </c>
      <c r="AI117" s="548">
        <f>SUM(D117:N117)</f>
        <v>0</v>
      </c>
      <c r="AJ117" s="548">
        <f t="shared" si="44"/>
        <v>0</v>
      </c>
      <c r="AK117" s="510">
        <f t="shared" si="45"/>
        <v>0</v>
      </c>
    </row>
    <row r="118" spans="1:37" ht="11.5" x14ac:dyDescent="0.25">
      <c r="A118" s="546"/>
      <c r="B118" s="452" t="s">
        <v>345</v>
      </c>
      <c r="C118" s="465" t="s">
        <v>37</v>
      </c>
      <c r="D118" s="507">
        <f>D108*地域経済性分析・初期条件!$M$14</f>
        <v>0</v>
      </c>
      <c r="E118" s="507">
        <f>E108*地域経済性分析・初期条件!$M$14</f>
        <v>0</v>
      </c>
      <c r="F118" s="507">
        <f>F108*地域経済性分析・初期条件!$M$14</f>
        <v>0</v>
      </c>
      <c r="G118" s="507">
        <f>G108*地域経済性分析・初期条件!$M$14</f>
        <v>0</v>
      </c>
      <c r="H118" s="507">
        <f>H108*地域経済性分析・初期条件!$M$14</f>
        <v>0</v>
      </c>
      <c r="I118" s="507">
        <f>I108*地域経済性分析・初期条件!$M$14</f>
        <v>0</v>
      </c>
      <c r="J118" s="507">
        <f>J108*地域経済性分析・初期条件!$M$14</f>
        <v>0</v>
      </c>
      <c r="K118" s="507">
        <f>K108*地域経済性分析・初期条件!$M$14</f>
        <v>0</v>
      </c>
      <c r="L118" s="507">
        <f>L108*地域経済性分析・初期条件!$M$14</f>
        <v>0</v>
      </c>
      <c r="M118" s="507">
        <f>M108*地域経済性分析・初期条件!$M$14</f>
        <v>0</v>
      </c>
      <c r="N118" s="507">
        <f>N108*地域経済性分析・初期条件!$M$14</f>
        <v>0</v>
      </c>
      <c r="O118" s="507">
        <f>O108*地域経済性分析・初期条件!$M$14</f>
        <v>0</v>
      </c>
      <c r="P118" s="507">
        <f>P108*地域経済性分析・初期条件!$M$14</f>
        <v>0</v>
      </c>
      <c r="Q118" s="507">
        <f>Q108*地域経済性分析・初期条件!$M$14</f>
        <v>0</v>
      </c>
      <c r="R118" s="507">
        <f>R108*地域経済性分析・初期条件!$M$14</f>
        <v>0</v>
      </c>
      <c r="S118" s="507">
        <f>S108*地域経済性分析・初期条件!$M$14</f>
        <v>0</v>
      </c>
      <c r="T118" s="507">
        <f>T108*地域経済性分析・初期条件!$M$14</f>
        <v>0</v>
      </c>
      <c r="U118" s="507">
        <f>U108*地域経済性分析・初期条件!$M$14</f>
        <v>0</v>
      </c>
      <c r="V118" s="507">
        <f>V108*地域経済性分析・初期条件!$M$14</f>
        <v>0</v>
      </c>
      <c r="W118" s="507">
        <f>W108*地域経済性分析・初期条件!$M$14</f>
        <v>0</v>
      </c>
      <c r="X118" s="507">
        <f>X108*地域経済性分析・初期条件!$M$14</f>
        <v>0</v>
      </c>
      <c r="Y118" s="507">
        <f>Y108*地域経済性分析・初期条件!$M$14</f>
        <v>0</v>
      </c>
      <c r="Z118" s="507">
        <f>Z108*地域経済性分析・初期条件!$M$14</f>
        <v>0</v>
      </c>
      <c r="AA118" s="507">
        <f>AA108*地域経済性分析・初期条件!$M$14</f>
        <v>0</v>
      </c>
      <c r="AB118" s="507">
        <f>AB108*地域経済性分析・初期条件!$M$14</f>
        <v>0</v>
      </c>
      <c r="AC118" s="507">
        <f>AC108*地域経済性分析・初期条件!$M$14</f>
        <v>0</v>
      </c>
      <c r="AD118" s="507">
        <f>AD108*地域経済性分析・初期条件!$M$14</f>
        <v>0</v>
      </c>
      <c r="AE118" s="507">
        <f>AE108*地域経済性分析・初期条件!$M$14</f>
        <v>0</v>
      </c>
      <c r="AF118" s="507">
        <f>AF108*地域経済性分析・初期条件!$M$14</f>
        <v>0</v>
      </c>
      <c r="AG118" s="507">
        <f>AG108*地域経済性分析・初期条件!$M$14</f>
        <v>0</v>
      </c>
      <c r="AH118" s="507">
        <f>AH108*地域経済性分析・初期条件!$M$14</f>
        <v>0</v>
      </c>
      <c r="AI118" s="548">
        <f>SUM(D118:N118)</f>
        <v>0</v>
      </c>
      <c r="AJ118" s="548">
        <f t="shared" si="44"/>
        <v>0</v>
      </c>
      <c r="AK118" s="510">
        <f t="shared" si="45"/>
        <v>0</v>
      </c>
    </row>
    <row r="119" spans="1:37" ht="11.5" x14ac:dyDescent="0.25">
      <c r="A119" s="546"/>
      <c r="B119" s="452" t="s">
        <v>346</v>
      </c>
      <c r="C119" s="465" t="s">
        <v>37</v>
      </c>
      <c r="D119" s="507">
        <f>D108*地域経済性分析・初期条件!$N$14</f>
        <v>0</v>
      </c>
      <c r="E119" s="507">
        <f>E108*地域経済性分析・初期条件!$N$14</f>
        <v>0</v>
      </c>
      <c r="F119" s="507">
        <f>F108*地域経済性分析・初期条件!$N$14</f>
        <v>0</v>
      </c>
      <c r="G119" s="507">
        <f>G108*地域経済性分析・初期条件!$N$14</f>
        <v>0</v>
      </c>
      <c r="H119" s="507">
        <f>H108*地域経済性分析・初期条件!$N$14</f>
        <v>0</v>
      </c>
      <c r="I119" s="507">
        <f>I108*地域経済性分析・初期条件!$N$14</f>
        <v>0</v>
      </c>
      <c r="J119" s="507">
        <f>J108*地域経済性分析・初期条件!$N$14</f>
        <v>0</v>
      </c>
      <c r="K119" s="507">
        <f>K108*地域経済性分析・初期条件!$N$14</f>
        <v>0</v>
      </c>
      <c r="L119" s="507">
        <f>L108*地域経済性分析・初期条件!$N$14</f>
        <v>0</v>
      </c>
      <c r="M119" s="507">
        <f>M108*地域経済性分析・初期条件!$N$14</f>
        <v>0</v>
      </c>
      <c r="N119" s="507">
        <f>N108*地域経済性分析・初期条件!$N$14</f>
        <v>0</v>
      </c>
      <c r="O119" s="507">
        <f>O108*地域経済性分析・初期条件!$N$14</f>
        <v>0</v>
      </c>
      <c r="P119" s="507">
        <f>P108*地域経済性分析・初期条件!$N$14</f>
        <v>0</v>
      </c>
      <c r="Q119" s="507">
        <f>Q108*地域経済性分析・初期条件!$N$14</f>
        <v>0</v>
      </c>
      <c r="R119" s="507">
        <f>R108*地域経済性分析・初期条件!$N$14</f>
        <v>0</v>
      </c>
      <c r="S119" s="507">
        <f>S108*地域経済性分析・初期条件!$N$14</f>
        <v>0</v>
      </c>
      <c r="T119" s="507">
        <f>T108*地域経済性分析・初期条件!$N$14</f>
        <v>0</v>
      </c>
      <c r="U119" s="507">
        <f>U108*地域経済性分析・初期条件!$N$14</f>
        <v>0</v>
      </c>
      <c r="V119" s="507">
        <f>V108*地域経済性分析・初期条件!$N$14</f>
        <v>0</v>
      </c>
      <c r="W119" s="507">
        <f>W108*地域経済性分析・初期条件!$N$14</f>
        <v>0</v>
      </c>
      <c r="X119" s="507">
        <f>X108*地域経済性分析・初期条件!$N$14</f>
        <v>0</v>
      </c>
      <c r="Y119" s="507">
        <f>Y108*地域経済性分析・初期条件!$N$14</f>
        <v>0</v>
      </c>
      <c r="Z119" s="507">
        <f>Z108*地域経済性分析・初期条件!$N$14</f>
        <v>0</v>
      </c>
      <c r="AA119" s="507">
        <f>AA108*地域経済性分析・初期条件!$N$14</f>
        <v>0</v>
      </c>
      <c r="AB119" s="507">
        <f>AB108*地域経済性分析・初期条件!$N$14</f>
        <v>0</v>
      </c>
      <c r="AC119" s="507">
        <f>AC108*地域経済性分析・初期条件!$N$14</f>
        <v>0</v>
      </c>
      <c r="AD119" s="507">
        <f>AD108*地域経済性分析・初期条件!$N$14</f>
        <v>0</v>
      </c>
      <c r="AE119" s="507">
        <f>AE108*地域経済性分析・初期条件!$N$14</f>
        <v>0</v>
      </c>
      <c r="AF119" s="507">
        <f>AF108*地域経済性分析・初期条件!$N$14</f>
        <v>0</v>
      </c>
      <c r="AG119" s="507">
        <f>AG108*地域経済性分析・初期条件!$N$14</f>
        <v>0</v>
      </c>
      <c r="AH119" s="507">
        <f>AH108*地域経済性分析・初期条件!$N$14</f>
        <v>0</v>
      </c>
      <c r="AI119" s="548">
        <f>SUM(D119:N119)</f>
        <v>0</v>
      </c>
      <c r="AJ119" s="548">
        <f t="shared" si="44"/>
        <v>0</v>
      </c>
      <c r="AK119" s="510">
        <f t="shared" si="45"/>
        <v>0</v>
      </c>
    </row>
    <row r="120" spans="1:37" ht="11.5" x14ac:dyDescent="0.25">
      <c r="A120" s="546"/>
      <c r="B120" s="452" t="s">
        <v>347</v>
      </c>
      <c r="C120" s="465" t="s">
        <v>37</v>
      </c>
      <c r="D120" s="507">
        <f>D108*地域経済性分析・初期条件!$O$14</f>
        <v>0</v>
      </c>
      <c r="E120" s="507">
        <f>E108*地域経済性分析・初期条件!$O$14</f>
        <v>0</v>
      </c>
      <c r="F120" s="507">
        <f>F108*地域経済性分析・初期条件!$O$14</f>
        <v>0</v>
      </c>
      <c r="G120" s="507">
        <f>G108*地域経済性分析・初期条件!$O$14</f>
        <v>0</v>
      </c>
      <c r="H120" s="507">
        <f>H108*地域経済性分析・初期条件!$O$14</f>
        <v>0</v>
      </c>
      <c r="I120" s="507">
        <f>I108*地域経済性分析・初期条件!$O$14</f>
        <v>0</v>
      </c>
      <c r="J120" s="507">
        <f>J108*地域経済性分析・初期条件!$O$14</f>
        <v>0</v>
      </c>
      <c r="K120" s="507">
        <f>K108*地域経済性分析・初期条件!$O$14</f>
        <v>0</v>
      </c>
      <c r="L120" s="507">
        <f>L108*地域経済性分析・初期条件!$O$14</f>
        <v>0</v>
      </c>
      <c r="M120" s="507">
        <f>M108*地域経済性分析・初期条件!$O$14</f>
        <v>0</v>
      </c>
      <c r="N120" s="507">
        <f>N108*地域経済性分析・初期条件!$O$14</f>
        <v>0</v>
      </c>
      <c r="O120" s="507">
        <f>O108*地域経済性分析・初期条件!$O$14</f>
        <v>0</v>
      </c>
      <c r="P120" s="507">
        <f>P108*地域経済性分析・初期条件!$O$14</f>
        <v>0</v>
      </c>
      <c r="Q120" s="507">
        <f>Q108*地域経済性分析・初期条件!$O$14</f>
        <v>0</v>
      </c>
      <c r="R120" s="507">
        <f>R108*地域経済性分析・初期条件!$O$14</f>
        <v>0</v>
      </c>
      <c r="S120" s="507">
        <f>S108*地域経済性分析・初期条件!$O$14</f>
        <v>0</v>
      </c>
      <c r="T120" s="507">
        <f>T108*地域経済性分析・初期条件!$O$14</f>
        <v>0</v>
      </c>
      <c r="U120" s="507">
        <f>U108*地域経済性分析・初期条件!$O$14</f>
        <v>0</v>
      </c>
      <c r="V120" s="507">
        <f>V108*地域経済性分析・初期条件!$O$14</f>
        <v>0</v>
      </c>
      <c r="W120" s="507">
        <f>W108*地域経済性分析・初期条件!$O$14</f>
        <v>0</v>
      </c>
      <c r="X120" s="507">
        <f>X108*地域経済性分析・初期条件!$O$14</f>
        <v>0</v>
      </c>
      <c r="Y120" s="507">
        <f>Y108*地域経済性分析・初期条件!$O$14</f>
        <v>0</v>
      </c>
      <c r="Z120" s="507">
        <f>Z108*地域経済性分析・初期条件!$O$14</f>
        <v>0</v>
      </c>
      <c r="AA120" s="507">
        <f>AA108*地域経済性分析・初期条件!$O$14</f>
        <v>0</v>
      </c>
      <c r="AB120" s="507">
        <f>AB108*地域経済性分析・初期条件!$O$14</f>
        <v>0</v>
      </c>
      <c r="AC120" s="507">
        <f>AC108*地域経済性分析・初期条件!$O$14</f>
        <v>0</v>
      </c>
      <c r="AD120" s="507">
        <f>AD108*地域経済性分析・初期条件!$O$14</f>
        <v>0</v>
      </c>
      <c r="AE120" s="507">
        <f>AE108*地域経済性分析・初期条件!$O$14</f>
        <v>0</v>
      </c>
      <c r="AF120" s="507">
        <f>AF108*地域経済性分析・初期条件!$O$14</f>
        <v>0</v>
      </c>
      <c r="AG120" s="507">
        <f>AG108*地域経済性分析・初期条件!$O$14</f>
        <v>0</v>
      </c>
      <c r="AH120" s="507">
        <f>AH108*地域経済性分析・初期条件!$O$14</f>
        <v>0</v>
      </c>
      <c r="AI120" s="548">
        <f>SUM(D120:N120)</f>
        <v>0</v>
      </c>
      <c r="AJ120" s="548">
        <f t="shared" si="44"/>
        <v>0</v>
      </c>
      <c r="AK120" s="510">
        <f t="shared" si="45"/>
        <v>0</v>
      </c>
    </row>
    <row r="121" spans="1:37" ht="11.5" x14ac:dyDescent="0.25">
      <c r="A121" s="502">
        <f>地域経済性分析・初期条件!$G$15</f>
        <v>0</v>
      </c>
      <c r="C121" s="465"/>
      <c r="D121" s="507"/>
      <c r="E121" s="507"/>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48"/>
      <c r="AJ121" s="548"/>
      <c r="AK121" s="510"/>
    </row>
    <row r="122" spans="1:37" ht="11.5" x14ac:dyDescent="0.25">
      <c r="A122" s="546" t="str">
        <f>A121&amp;B122</f>
        <v>0売上（税別）</v>
      </c>
      <c r="B122" s="452" t="s">
        <v>1047</v>
      </c>
      <c r="C122" s="464" t="s">
        <v>37</v>
      </c>
      <c r="D122" s="507">
        <f>D92*地域経済性分析・初期条件!$F$15</f>
        <v>0</v>
      </c>
      <c r="E122" s="507">
        <f>E92*地域経済性分析・初期条件!$F$15</f>
        <v>0</v>
      </c>
      <c r="F122" s="507">
        <f>F92*地域経済性分析・初期条件!$F$15</f>
        <v>0</v>
      </c>
      <c r="G122" s="507">
        <f>G92*地域経済性分析・初期条件!$F$15</f>
        <v>0</v>
      </c>
      <c r="H122" s="507">
        <f>H92*地域経済性分析・初期条件!$F$15</f>
        <v>0</v>
      </c>
      <c r="I122" s="507">
        <f>I92*地域経済性分析・初期条件!$F$15</f>
        <v>0</v>
      </c>
      <c r="J122" s="507">
        <f>J92*地域経済性分析・初期条件!$F$15</f>
        <v>0</v>
      </c>
      <c r="K122" s="507">
        <f>K92*地域経済性分析・初期条件!$F$15</f>
        <v>0</v>
      </c>
      <c r="L122" s="507">
        <f>L92*地域経済性分析・初期条件!$F$15</f>
        <v>0</v>
      </c>
      <c r="M122" s="507">
        <f>M92*地域経済性分析・初期条件!$F$15</f>
        <v>0</v>
      </c>
      <c r="N122" s="507">
        <f>N92*地域経済性分析・初期条件!$F$15</f>
        <v>0</v>
      </c>
      <c r="O122" s="507">
        <f>O92*地域経済性分析・初期条件!$F$15</f>
        <v>0</v>
      </c>
      <c r="P122" s="507">
        <f>P92*地域経済性分析・初期条件!$F$15</f>
        <v>0</v>
      </c>
      <c r="Q122" s="507">
        <f>Q92*地域経済性分析・初期条件!$F$15</f>
        <v>0</v>
      </c>
      <c r="R122" s="507">
        <f>R92*地域経済性分析・初期条件!$F$15</f>
        <v>0</v>
      </c>
      <c r="S122" s="507">
        <f>S92*地域経済性分析・初期条件!$F$15</f>
        <v>0</v>
      </c>
      <c r="T122" s="507">
        <f>T92*地域経済性分析・初期条件!$F$15</f>
        <v>0</v>
      </c>
      <c r="U122" s="507">
        <f>U92*地域経済性分析・初期条件!$F$15</f>
        <v>0</v>
      </c>
      <c r="V122" s="507">
        <f>V92*地域経済性分析・初期条件!$F$15</f>
        <v>0</v>
      </c>
      <c r="W122" s="507">
        <f>W92*地域経済性分析・初期条件!$F$15</f>
        <v>0</v>
      </c>
      <c r="X122" s="507">
        <f>X92*地域経済性分析・初期条件!$F$15</f>
        <v>0</v>
      </c>
      <c r="Y122" s="507">
        <f>Y92*地域経済性分析・初期条件!$F$15</f>
        <v>0</v>
      </c>
      <c r="Z122" s="507">
        <f>Z92*地域経済性分析・初期条件!$F$15</f>
        <v>0</v>
      </c>
      <c r="AA122" s="507">
        <f>AA92*地域経済性分析・初期条件!$F$15</f>
        <v>0</v>
      </c>
      <c r="AB122" s="507">
        <f>AB92*地域経済性分析・初期条件!$F$15</f>
        <v>0</v>
      </c>
      <c r="AC122" s="507">
        <f>AC92*地域経済性分析・初期条件!$F$15</f>
        <v>0</v>
      </c>
      <c r="AD122" s="507">
        <f>AD92*地域経済性分析・初期条件!$F$15</f>
        <v>0</v>
      </c>
      <c r="AE122" s="507">
        <f>AE92*地域経済性分析・初期条件!$F$15</f>
        <v>0</v>
      </c>
      <c r="AF122" s="507">
        <f>AF92*地域経済性分析・初期条件!$F$15</f>
        <v>0</v>
      </c>
      <c r="AG122" s="507">
        <f>AG92*地域経済性分析・初期条件!$F$15</f>
        <v>0</v>
      </c>
      <c r="AH122" s="507">
        <f>AH92*地域経済性分析・初期条件!$F$15</f>
        <v>0</v>
      </c>
      <c r="AI122" s="548">
        <f t="shared" ref="AI122:AI130" si="46">SUM(D122:N122)</f>
        <v>0</v>
      </c>
      <c r="AJ122" s="548">
        <f>SUM(D122:X122)</f>
        <v>0</v>
      </c>
      <c r="AK122" s="510">
        <f>SUM(D122:AH122)</f>
        <v>0</v>
      </c>
    </row>
    <row r="123" spans="1:37" ht="11.5" x14ac:dyDescent="0.25">
      <c r="A123" s="546"/>
      <c r="B123" s="452" t="s">
        <v>263</v>
      </c>
      <c r="C123" s="464" t="s">
        <v>37</v>
      </c>
      <c r="D123" s="507">
        <f>D122*波及効果シート!$D$72</f>
        <v>0</v>
      </c>
      <c r="E123" s="507">
        <f>E122*波及効果シート!$D$72</f>
        <v>0</v>
      </c>
      <c r="F123" s="507">
        <f>F122*波及効果シート!$D$72</f>
        <v>0</v>
      </c>
      <c r="G123" s="507">
        <f>G122*波及効果シート!$D$72</f>
        <v>0</v>
      </c>
      <c r="H123" s="507">
        <f>H122*波及効果シート!$D$72</f>
        <v>0</v>
      </c>
      <c r="I123" s="507">
        <f>I122*波及効果シート!$D$72</f>
        <v>0</v>
      </c>
      <c r="J123" s="507">
        <f>J122*波及効果シート!$D$72</f>
        <v>0</v>
      </c>
      <c r="K123" s="507">
        <f>K122*波及効果シート!$D$72</f>
        <v>0</v>
      </c>
      <c r="L123" s="507">
        <f>L122*波及効果シート!$D$72</f>
        <v>0</v>
      </c>
      <c r="M123" s="507">
        <f>M122*波及効果シート!$D$72</f>
        <v>0</v>
      </c>
      <c r="N123" s="507">
        <f>N122*波及効果シート!$D$72</f>
        <v>0</v>
      </c>
      <c r="O123" s="507">
        <f>O122*波及効果シート!$D$72</f>
        <v>0</v>
      </c>
      <c r="P123" s="507">
        <f>P122*波及効果シート!$D$72</f>
        <v>0</v>
      </c>
      <c r="Q123" s="507">
        <f>Q122*波及効果シート!$D$72</f>
        <v>0</v>
      </c>
      <c r="R123" s="507">
        <f>R122*波及効果シート!$D$72</f>
        <v>0</v>
      </c>
      <c r="S123" s="507">
        <f>S122*波及効果シート!$D$72</f>
        <v>0</v>
      </c>
      <c r="T123" s="507">
        <f>T122*波及効果シート!$D$72</f>
        <v>0</v>
      </c>
      <c r="U123" s="507">
        <f>U122*波及効果シート!$D$72</f>
        <v>0</v>
      </c>
      <c r="V123" s="507">
        <f>V122*波及効果シート!$D$72</f>
        <v>0</v>
      </c>
      <c r="W123" s="507">
        <f>W122*波及効果シート!$D$72</f>
        <v>0</v>
      </c>
      <c r="X123" s="507">
        <f>X122*波及効果シート!$D$72</f>
        <v>0</v>
      </c>
      <c r="Y123" s="507">
        <f>Y122*波及効果シート!$D$72</f>
        <v>0</v>
      </c>
      <c r="Z123" s="507">
        <f>Z122*波及効果シート!$D$72</f>
        <v>0</v>
      </c>
      <c r="AA123" s="507">
        <f>AA122*波及効果シート!$D$72</f>
        <v>0</v>
      </c>
      <c r="AB123" s="507">
        <f>AB122*波及効果シート!$D$72</f>
        <v>0</v>
      </c>
      <c r="AC123" s="507">
        <f>AC122*波及効果シート!$D$72</f>
        <v>0</v>
      </c>
      <c r="AD123" s="507">
        <f>AD122*波及効果シート!$D$72</f>
        <v>0</v>
      </c>
      <c r="AE123" s="507">
        <f>AE122*波及効果シート!$D$72</f>
        <v>0</v>
      </c>
      <c r="AF123" s="507">
        <f>AF122*波及効果シート!$D$72</f>
        <v>0</v>
      </c>
      <c r="AG123" s="507">
        <f>AG122*波及効果シート!$D$72</f>
        <v>0</v>
      </c>
      <c r="AH123" s="507">
        <f>AH122*波及効果シート!$D$72</f>
        <v>0</v>
      </c>
      <c r="AI123" s="548">
        <f t="shared" si="46"/>
        <v>0</v>
      </c>
      <c r="AJ123" s="548">
        <f>SUM(D123:X123)</f>
        <v>0</v>
      </c>
      <c r="AK123" s="510">
        <f>SUM(D123:AH123)</f>
        <v>0</v>
      </c>
    </row>
    <row r="124" spans="1:37" ht="11.5" x14ac:dyDescent="0.25">
      <c r="A124" s="546"/>
      <c r="B124" s="452" t="s">
        <v>1048</v>
      </c>
      <c r="C124" s="465" t="s">
        <v>37</v>
      </c>
      <c r="D124" s="507">
        <f>D122*波及効果シート!$D$74</f>
        <v>0</v>
      </c>
      <c r="E124" s="507">
        <f>E122*波及効果シート!$D$74</f>
        <v>0</v>
      </c>
      <c r="F124" s="507">
        <f>F122*波及効果シート!$D$74</f>
        <v>0</v>
      </c>
      <c r="G124" s="507">
        <f>G122*波及効果シート!$D$74</f>
        <v>0</v>
      </c>
      <c r="H124" s="507">
        <f>H122*波及効果シート!$D$74</f>
        <v>0</v>
      </c>
      <c r="I124" s="507">
        <f>I122*波及効果シート!$D$74</f>
        <v>0</v>
      </c>
      <c r="J124" s="507">
        <f>J122*波及効果シート!$D$74</f>
        <v>0</v>
      </c>
      <c r="K124" s="507">
        <f>K122*波及効果シート!$D$74</f>
        <v>0</v>
      </c>
      <c r="L124" s="507">
        <f>L122*波及効果シート!$D$74</f>
        <v>0</v>
      </c>
      <c r="M124" s="507">
        <f>M122*波及効果シート!$D$74</f>
        <v>0</v>
      </c>
      <c r="N124" s="507">
        <f>N122*波及効果シート!$D$74</f>
        <v>0</v>
      </c>
      <c r="O124" s="507">
        <f>O122*波及効果シート!$D$74</f>
        <v>0</v>
      </c>
      <c r="P124" s="507">
        <f>P122*波及効果シート!$D$74</f>
        <v>0</v>
      </c>
      <c r="Q124" s="507">
        <f>Q122*波及効果シート!$D$74</f>
        <v>0</v>
      </c>
      <c r="R124" s="507">
        <f>R122*波及効果シート!$D$74</f>
        <v>0</v>
      </c>
      <c r="S124" s="507">
        <f>S122*波及効果シート!$D$74</f>
        <v>0</v>
      </c>
      <c r="T124" s="507">
        <f>T122*波及効果シート!$D$74</f>
        <v>0</v>
      </c>
      <c r="U124" s="507">
        <f>U122*波及効果シート!$D$74</f>
        <v>0</v>
      </c>
      <c r="V124" s="507">
        <f>V122*波及効果シート!$D$74</f>
        <v>0</v>
      </c>
      <c r="W124" s="507">
        <f>W122*波及効果シート!$D$74</f>
        <v>0</v>
      </c>
      <c r="X124" s="507">
        <f>X122*波及効果シート!$D$74</f>
        <v>0</v>
      </c>
      <c r="Y124" s="507">
        <f>Y122*波及効果シート!$D$74</f>
        <v>0</v>
      </c>
      <c r="Z124" s="507">
        <f>Z122*波及効果シート!$D$74</f>
        <v>0</v>
      </c>
      <c r="AA124" s="507">
        <f>AA122*波及効果シート!$D$74</f>
        <v>0</v>
      </c>
      <c r="AB124" s="507">
        <f>AB122*波及効果シート!$D$74</f>
        <v>0</v>
      </c>
      <c r="AC124" s="507">
        <f>AC122*波及効果シート!$D$74</f>
        <v>0</v>
      </c>
      <c r="AD124" s="507">
        <f>AD122*波及効果シート!$D$74</f>
        <v>0</v>
      </c>
      <c r="AE124" s="507">
        <f>AE122*波及効果シート!$D$74</f>
        <v>0</v>
      </c>
      <c r="AF124" s="507">
        <f>AF122*波及効果シート!$D$74</f>
        <v>0</v>
      </c>
      <c r="AG124" s="507">
        <f>AG122*波及効果シート!$D$74</f>
        <v>0</v>
      </c>
      <c r="AH124" s="507">
        <f>AH122*波及効果シート!$D$74</f>
        <v>0</v>
      </c>
      <c r="AI124" s="548">
        <f t="shared" si="46"/>
        <v>0</v>
      </c>
      <c r="AJ124" s="548">
        <f>SUM(D124:X124)</f>
        <v>0</v>
      </c>
      <c r="AK124" s="510">
        <f>SUM(D124:AH124)</f>
        <v>0</v>
      </c>
    </row>
    <row r="125" spans="1:37" ht="11.5" x14ac:dyDescent="0.25">
      <c r="A125" s="546"/>
      <c r="B125" s="452" t="s">
        <v>356</v>
      </c>
      <c r="C125" s="465" t="s">
        <v>37</v>
      </c>
      <c r="D125" s="507">
        <f>D122*地域経済性分析・初期条件!$P$15</f>
        <v>0</v>
      </c>
      <c r="E125" s="507">
        <f>E122*地域経済性分析・初期条件!$P$15</f>
        <v>0</v>
      </c>
      <c r="F125" s="507">
        <f>F122*地域経済性分析・初期条件!$P$15</f>
        <v>0</v>
      </c>
      <c r="G125" s="507">
        <f>G122*地域経済性分析・初期条件!$P$15</f>
        <v>0</v>
      </c>
      <c r="H125" s="507">
        <f>H122*地域経済性分析・初期条件!$P$15</f>
        <v>0</v>
      </c>
      <c r="I125" s="507">
        <f>I122*地域経済性分析・初期条件!$P$15</f>
        <v>0</v>
      </c>
      <c r="J125" s="507">
        <f>J122*地域経済性分析・初期条件!$P$15</f>
        <v>0</v>
      </c>
      <c r="K125" s="507">
        <f>K122*地域経済性分析・初期条件!$P$15</f>
        <v>0</v>
      </c>
      <c r="L125" s="507">
        <f>L122*地域経済性分析・初期条件!$P$15</f>
        <v>0</v>
      </c>
      <c r="M125" s="507">
        <f>M122*地域経済性分析・初期条件!$P$15</f>
        <v>0</v>
      </c>
      <c r="N125" s="507">
        <f>N122*地域経済性分析・初期条件!$P$15</f>
        <v>0</v>
      </c>
      <c r="O125" s="507">
        <f>O122*地域経済性分析・初期条件!$P$15</f>
        <v>0</v>
      </c>
      <c r="P125" s="507">
        <f>P122*地域経済性分析・初期条件!$P$15</f>
        <v>0</v>
      </c>
      <c r="Q125" s="507">
        <f>Q122*地域経済性分析・初期条件!$P$15</f>
        <v>0</v>
      </c>
      <c r="R125" s="507">
        <f>R122*地域経済性分析・初期条件!$P$15</f>
        <v>0</v>
      </c>
      <c r="S125" s="507">
        <f>S122*地域経済性分析・初期条件!$P$15</f>
        <v>0</v>
      </c>
      <c r="T125" s="507">
        <f>T122*地域経済性分析・初期条件!$P$15</f>
        <v>0</v>
      </c>
      <c r="U125" s="507">
        <f>U122*地域経済性分析・初期条件!$P$15</f>
        <v>0</v>
      </c>
      <c r="V125" s="507">
        <f>V122*地域経済性分析・初期条件!$P$15</f>
        <v>0</v>
      </c>
      <c r="W125" s="507">
        <f>W122*地域経済性分析・初期条件!$P$15</f>
        <v>0</v>
      </c>
      <c r="X125" s="507">
        <f>X122*地域経済性分析・初期条件!$P$15</f>
        <v>0</v>
      </c>
      <c r="Y125" s="507">
        <f>Y122*地域経済性分析・初期条件!$P$15</f>
        <v>0</v>
      </c>
      <c r="Z125" s="507">
        <f>Z122*地域経済性分析・初期条件!$P$15</f>
        <v>0</v>
      </c>
      <c r="AA125" s="507">
        <f>AA122*地域経済性分析・初期条件!$P$15</f>
        <v>0</v>
      </c>
      <c r="AB125" s="507">
        <f>AB122*地域経済性分析・初期条件!$P$15</f>
        <v>0</v>
      </c>
      <c r="AC125" s="507">
        <f>AC122*地域経済性分析・初期条件!$P$15</f>
        <v>0</v>
      </c>
      <c r="AD125" s="507">
        <f>AD122*地域経済性分析・初期条件!$P$15</f>
        <v>0</v>
      </c>
      <c r="AE125" s="507">
        <f>AE122*地域経済性分析・初期条件!$P$15</f>
        <v>0</v>
      </c>
      <c r="AF125" s="507">
        <f>AF122*地域経済性分析・初期条件!$P$15</f>
        <v>0</v>
      </c>
      <c r="AG125" s="507">
        <f>AG122*地域経済性分析・初期条件!$P$15</f>
        <v>0</v>
      </c>
      <c r="AH125" s="507">
        <f>AH122*地域経済性分析・初期条件!$P$15</f>
        <v>0</v>
      </c>
      <c r="AI125" s="548">
        <f t="shared" si="46"/>
        <v>0</v>
      </c>
      <c r="AJ125" s="548">
        <f>SUM(D125:X125)</f>
        <v>0</v>
      </c>
      <c r="AK125" s="510">
        <f>SUM(D125:AH125)</f>
        <v>0</v>
      </c>
    </row>
    <row r="126" spans="1:37" ht="11.5" x14ac:dyDescent="0.25">
      <c r="A126" s="546"/>
      <c r="B126" s="452" t="s">
        <v>355</v>
      </c>
      <c r="C126" s="465" t="s">
        <v>37</v>
      </c>
      <c r="D126" s="507">
        <f>D122*地域経済性分析・初期条件!$Q$15</f>
        <v>0</v>
      </c>
      <c r="E126" s="507">
        <f>E122*地域経済性分析・初期条件!$Q$15</f>
        <v>0</v>
      </c>
      <c r="F126" s="507">
        <f>F122*地域経済性分析・初期条件!$Q$15</f>
        <v>0</v>
      </c>
      <c r="G126" s="507">
        <f>G122*地域経済性分析・初期条件!$Q$15</f>
        <v>0</v>
      </c>
      <c r="H126" s="507">
        <f>H122*地域経済性分析・初期条件!$Q$15</f>
        <v>0</v>
      </c>
      <c r="I126" s="507">
        <f>I122*地域経済性分析・初期条件!$Q$15</f>
        <v>0</v>
      </c>
      <c r="J126" s="507">
        <f>J122*地域経済性分析・初期条件!$Q$15</f>
        <v>0</v>
      </c>
      <c r="K126" s="507">
        <f>K122*地域経済性分析・初期条件!$Q$15</f>
        <v>0</v>
      </c>
      <c r="L126" s="507">
        <f>L122*地域経済性分析・初期条件!$Q$15</f>
        <v>0</v>
      </c>
      <c r="M126" s="507">
        <f>M122*地域経済性分析・初期条件!$Q$15</f>
        <v>0</v>
      </c>
      <c r="N126" s="507">
        <f>N122*地域経済性分析・初期条件!$Q$15</f>
        <v>0</v>
      </c>
      <c r="O126" s="507">
        <f>O122*地域経済性分析・初期条件!$Q$15</f>
        <v>0</v>
      </c>
      <c r="P126" s="507">
        <f>P122*地域経済性分析・初期条件!$Q$15</f>
        <v>0</v>
      </c>
      <c r="Q126" s="507">
        <f>Q122*地域経済性分析・初期条件!$Q$15</f>
        <v>0</v>
      </c>
      <c r="R126" s="507">
        <f>R122*地域経済性分析・初期条件!$Q$15</f>
        <v>0</v>
      </c>
      <c r="S126" s="507">
        <f>S122*地域経済性分析・初期条件!$Q$15</f>
        <v>0</v>
      </c>
      <c r="T126" s="507">
        <f>T122*地域経済性分析・初期条件!$Q$15</f>
        <v>0</v>
      </c>
      <c r="U126" s="507">
        <f>U122*地域経済性分析・初期条件!$Q$15</f>
        <v>0</v>
      </c>
      <c r="V126" s="507">
        <f>V122*地域経済性分析・初期条件!$Q$15</f>
        <v>0</v>
      </c>
      <c r="W126" s="507">
        <f>W122*地域経済性分析・初期条件!$Q$15</f>
        <v>0</v>
      </c>
      <c r="X126" s="507">
        <f>X122*地域経済性分析・初期条件!$Q$15</f>
        <v>0</v>
      </c>
      <c r="Y126" s="507">
        <f>Y122*地域経済性分析・初期条件!$Q$15</f>
        <v>0</v>
      </c>
      <c r="Z126" s="507">
        <f>Z122*地域経済性分析・初期条件!$Q$15</f>
        <v>0</v>
      </c>
      <c r="AA126" s="507">
        <f>AA122*地域経済性分析・初期条件!$Q$15</f>
        <v>0</v>
      </c>
      <c r="AB126" s="507">
        <f>AB122*地域経済性分析・初期条件!$Q$15</f>
        <v>0</v>
      </c>
      <c r="AC126" s="507">
        <f>AC122*地域経済性分析・初期条件!$Q$15</f>
        <v>0</v>
      </c>
      <c r="AD126" s="507">
        <f>AD122*地域経済性分析・初期条件!$Q$15</f>
        <v>0</v>
      </c>
      <c r="AE126" s="507">
        <f>AE122*地域経済性分析・初期条件!$Q$15</f>
        <v>0</v>
      </c>
      <c r="AF126" s="507">
        <f>AF122*地域経済性分析・初期条件!$Q$15</f>
        <v>0</v>
      </c>
      <c r="AG126" s="507">
        <f>AG122*地域経済性分析・初期条件!$Q$15</f>
        <v>0</v>
      </c>
      <c r="AH126" s="507">
        <f>AH122*地域経済性分析・初期条件!$Q$15</f>
        <v>0</v>
      </c>
      <c r="AI126" s="548">
        <f t="shared" si="46"/>
        <v>0</v>
      </c>
      <c r="AJ126" s="548">
        <f>SUM(D126:X126)</f>
        <v>0</v>
      </c>
      <c r="AK126" s="510">
        <f>SUM(D126:AH126)</f>
        <v>0</v>
      </c>
    </row>
    <row r="127" spans="1:37" ht="11.5" x14ac:dyDescent="0.25">
      <c r="A127" s="546" t="str">
        <f>A121&amp;B127</f>
        <v>0従業員の可処分所得（一次）</v>
      </c>
      <c r="B127" s="452" t="s">
        <v>339</v>
      </c>
      <c r="C127" s="464" t="s">
        <v>37</v>
      </c>
      <c r="D127" s="507">
        <f>D122*地域経済性分析・初期条件!$H$15</f>
        <v>0</v>
      </c>
      <c r="E127" s="507">
        <f>E122*地域経済性分析・初期条件!$H$15</f>
        <v>0</v>
      </c>
      <c r="F127" s="507">
        <f>F122*地域経済性分析・初期条件!$H$15</f>
        <v>0</v>
      </c>
      <c r="G127" s="507">
        <f>G122*地域経済性分析・初期条件!$H$15</f>
        <v>0</v>
      </c>
      <c r="H127" s="507">
        <f>H122*地域経済性分析・初期条件!$H$15</f>
        <v>0</v>
      </c>
      <c r="I127" s="507">
        <f>I122*地域経済性分析・初期条件!$H$15</f>
        <v>0</v>
      </c>
      <c r="J127" s="507">
        <f>J122*地域経済性分析・初期条件!$H$15</f>
        <v>0</v>
      </c>
      <c r="K127" s="507">
        <f>K122*地域経済性分析・初期条件!$H$15</f>
        <v>0</v>
      </c>
      <c r="L127" s="507">
        <f>L122*地域経済性分析・初期条件!$H$15</f>
        <v>0</v>
      </c>
      <c r="M127" s="507">
        <f>M122*地域経済性分析・初期条件!$H$15</f>
        <v>0</v>
      </c>
      <c r="N127" s="507">
        <f>N122*地域経済性分析・初期条件!$H$15</f>
        <v>0</v>
      </c>
      <c r="O127" s="507">
        <f>O122*地域経済性分析・初期条件!$H$15</f>
        <v>0</v>
      </c>
      <c r="P127" s="507">
        <f>P122*地域経済性分析・初期条件!$H$15</f>
        <v>0</v>
      </c>
      <c r="Q127" s="507">
        <f>Q122*地域経済性分析・初期条件!$H$15</f>
        <v>0</v>
      </c>
      <c r="R127" s="507">
        <f>R122*地域経済性分析・初期条件!$H$15</f>
        <v>0</v>
      </c>
      <c r="S127" s="507">
        <f>S122*地域経済性分析・初期条件!$H$15</f>
        <v>0</v>
      </c>
      <c r="T127" s="507">
        <f>T122*地域経済性分析・初期条件!$H$15</f>
        <v>0</v>
      </c>
      <c r="U127" s="507">
        <f>U122*地域経済性分析・初期条件!$H$15</f>
        <v>0</v>
      </c>
      <c r="V127" s="507">
        <f>V122*地域経済性分析・初期条件!$H$15</f>
        <v>0</v>
      </c>
      <c r="W127" s="507">
        <f>W122*地域経済性分析・初期条件!$H$15</f>
        <v>0</v>
      </c>
      <c r="X127" s="507">
        <f>X122*地域経済性分析・初期条件!$H$15</f>
        <v>0</v>
      </c>
      <c r="Y127" s="507">
        <f>Y122*地域経済性分析・初期条件!$H$15</f>
        <v>0</v>
      </c>
      <c r="Z127" s="507">
        <f>Z122*地域経済性分析・初期条件!$H$15</f>
        <v>0</v>
      </c>
      <c r="AA127" s="507">
        <f>AA122*地域経済性分析・初期条件!$H$15</f>
        <v>0</v>
      </c>
      <c r="AB127" s="507">
        <f>AB122*地域経済性分析・初期条件!$H$15</f>
        <v>0</v>
      </c>
      <c r="AC127" s="507">
        <f>AC122*地域経済性分析・初期条件!$H$15</f>
        <v>0</v>
      </c>
      <c r="AD127" s="507">
        <f>AD122*地域経済性分析・初期条件!$H$15</f>
        <v>0</v>
      </c>
      <c r="AE127" s="507">
        <f>AE122*地域経済性分析・初期条件!$H$15</f>
        <v>0</v>
      </c>
      <c r="AF127" s="507">
        <f>AF122*地域経済性分析・初期条件!$H$15</f>
        <v>0</v>
      </c>
      <c r="AG127" s="507">
        <f>AG122*地域経済性分析・初期条件!$H$15</f>
        <v>0</v>
      </c>
      <c r="AH127" s="507">
        <f>AH122*地域経済性分析・初期条件!$H$15</f>
        <v>0</v>
      </c>
      <c r="AI127" s="548">
        <f t="shared" si="46"/>
        <v>0</v>
      </c>
      <c r="AJ127" s="548">
        <f t="shared" ref="AJ127:AJ134" si="47">SUM(D127:X127)</f>
        <v>0</v>
      </c>
      <c r="AK127" s="510">
        <f t="shared" ref="AK127:AK134" si="48">SUM(D127:AH127)</f>
        <v>0</v>
      </c>
    </row>
    <row r="128" spans="1:37" ht="11.5" x14ac:dyDescent="0.25">
      <c r="A128" s="546" t="str">
        <f>A121&amp;B128</f>
        <v>0企業の税引後利益（一次）</v>
      </c>
      <c r="B128" s="452" t="s">
        <v>340</v>
      </c>
      <c r="C128" s="464" t="s">
        <v>37</v>
      </c>
      <c r="D128" s="507">
        <f>D122*地域経済性分析・初期条件!$I$15</f>
        <v>0</v>
      </c>
      <c r="E128" s="507">
        <f>E122*地域経済性分析・初期条件!$I$15</f>
        <v>0</v>
      </c>
      <c r="F128" s="507">
        <f>F122*地域経済性分析・初期条件!$I$15</f>
        <v>0</v>
      </c>
      <c r="G128" s="507">
        <f>G122*地域経済性分析・初期条件!$I$15</f>
        <v>0</v>
      </c>
      <c r="H128" s="507">
        <f>H122*地域経済性分析・初期条件!$I$15</f>
        <v>0</v>
      </c>
      <c r="I128" s="507">
        <f>I122*地域経済性分析・初期条件!$I$15</f>
        <v>0</v>
      </c>
      <c r="J128" s="507">
        <f>J122*地域経済性分析・初期条件!$I$15</f>
        <v>0</v>
      </c>
      <c r="K128" s="507">
        <f>K122*地域経済性分析・初期条件!$I$15</f>
        <v>0</v>
      </c>
      <c r="L128" s="507">
        <f>L122*地域経済性分析・初期条件!$I$15</f>
        <v>0</v>
      </c>
      <c r="M128" s="507">
        <f>M122*地域経済性分析・初期条件!$I$15</f>
        <v>0</v>
      </c>
      <c r="N128" s="507">
        <f>N122*地域経済性分析・初期条件!$I$15</f>
        <v>0</v>
      </c>
      <c r="O128" s="507">
        <f>O122*地域経済性分析・初期条件!$I$15</f>
        <v>0</v>
      </c>
      <c r="P128" s="507">
        <f>P122*地域経済性分析・初期条件!$I$15</f>
        <v>0</v>
      </c>
      <c r="Q128" s="507">
        <f>Q122*地域経済性分析・初期条件!$I$15</f>
        <v>0</v>
      </c>
      <c r="R128" s="507">
        <f>R122*地域経済性分析・初期条件!$I$15</f>
        <v>0</v>
      </c>
      <c r="S128" s="507">
        <f>S122*地域経済性分析・初期条件!$I$15</f>
        <v>0</v>
      </c>
      <c r="T128" s="507">
        <f>T122*地域経済性分析・初期条件!$I$15</f>
        <v>0</v>
      </c>
      <c r="U128" s="507">
        <f>U122*地域経済性分析・初期条件!$I$15</f>
        <v>0</v>
      </c>
      <c r="V128" s="507">
        <f>V122*地域経済性分析・初期条件!$I$15</f>
        <v>0</v>
      </c>
      <c r="W128" s="507">
        <f>W122*地域経済性分析・初期条件!$I$15</f>
        <v>0</v>
      </c>
      <c r="X128" s="507">
        <f>X122*地域経済性分析・初期条件!$I$15</f>
        <v>0</v>
      </c>
      <c r="Y128" s="507">
        <f>Y122*地域経済性分析・初期条件!$I$15</f>
        <v>0</v>
      </c>
      <c r="Z128" s="507">
        <f>Z122*地域経済性分析・初期条件!$I$15</f>
        <v>0</v>
      </c>
      <c r="AA128" s="507">
        <f>AA122*地域経済性分析・初期条件!$I$15</f>
        <v>0</v>
      </c>
      <c r="AB128" s="507">
        <f>AB122*地域経済性分析・初期条件!$I$15</f>
        <v>0</v>
      </c>
      <c r="AC128" s="507">
        <f>AC122*地域経済性分析・初期条件!$I$15</f>
        <v>0</v>
      </c>
      <c r="AD128" s="507">
        <f>AD122*地域経済性分析・初期条件!$I$15</f>
        <v>0</v>
      </c>
      <c r="AE128" s="507">
        <f>AE122*地域経済性分析・初期条件!$I$15</f>
        <v>0</v>
      </c>
      <c r="AF128" s="507">
        <f>AF122*地域経済性分析・初期条件!$I$15</f>
        <v>0</v>
      </c>
      <c r="AG128" s="507">
        <f>AG122*地域経済性分析・初期条件!$I$15</f>
        <v>0</v>
      </c>
      <c r="AH128" s="507">
        <f>AH122*地域経済性分析・初期条件!$I$15</f>
        <v>0</v>
      </c>
      <c r="AI128" s="548">
        <f t="shared" si="46"/>
        <v>0</v>
      </c>
      <c r="AJ128" s="548">
        <f t="shared" si="47"/>
        <v>0</v>
      </c>
      <c r="AK128" s="510">
        <f t="shared" si="48"/>
        <v>0</v>
      </c>
    </row>
    <row r="129" spans="1:37" ht="11.5" x14ac:dyDescent="0.25">
      <c r="A129" s="546" t="str">
        <f>A121&amp;B129</f>
        <v>0都道府県税収（一次）</v>
      </c>
      <c r="B129" s="452" t="s">
        <v>341</v>
      </c>
      <c r="C129" s="464" t="s">
        <v>37</v>
      </c>
      <c r="D129" s="507">
        <f>D122*地域経済性分析・初期条件!$J$15</f>
        <v>0</v>
      </c>
      <c r="E129" s="507">
        <f>E122*地域経済性分析・初期条件!$J$15</f>
        <v>0</v>
      </c>
      <c r="F129" s="507">
        <f>F122*地域経済性分析・初期条件!$J$15</f>
        <v>0</v>
      </c>
      <c r="G129" s="507">
        <f>G122*地域経済性分析・初期条件!$J$15</f>
        <v>0</v>
      </c>
      <c r="H129" s="507">
        <f>H122*地域経済性分析・初期条件!$J$15</f>
        <v>0</v>
      </c>
      <c r="I129" s="507">
        <f>I122*地域経済性分析・初期条件!$J$15</f>
        <v>0</v>
      </c>
      <c r="J129" s="507">
        <f>J122*地域経済性分析・初期条件!$J$15</f>
        <v>0</v>
      </c>
      <c r="K129" s="507">
        <f>K122*地域経済性分析・初期条件!$J$15</f>
        <v>0</v>
      </c>
      <c r="L129" s="507">
        <f>L122*地域経済性分析・初期条件!$J$15</f>
        <v>0</v>
      </c>
      <c r="M129" s="507">
        <f>M122*地域経済性分析・初期条件!$J$15</f>
        <v>0</v>
      </c>
      <c r="N129" s="507">
        <f>N122*地域経済性分析・初期条件!$J$15</f>
        <v>0</v>
      </c>
      <c r="O129" s="507">
        <f>O122*地域経済性分析・初期条件!$J$15</f>
        <v>0</v>
      </c>
      <c r="P129" s="507">
        <f>P122*地域経済性分析・初期条件!$J$15</f>
        <v>0</v>
      </c>
      <c r="Q129" s="507">
        <f>Q122*地域経済性分析・初期条件!$J$15</f>
        <v>0</v>
      </c>
      <c r="R129" s="507">
        <f>R122*地域経済性分析・初期条件!$J$15</f>
        <v>0</v>
      </c>
      <c r="S129" s="507">
        <f>S122*地域経済性分析・初期条件!$J$15</f>
        <v>0</v>
      </c>
      <c r="T129" s="507">
        <f>T122*地域経済性分析・初期条件!$J$15</f>
        <v>0</v>
      </c>
      <c r="U129" s="507">
        <f>U122*地域経済性分析・初期条件!$J$15</f>
        <v>0</v>
      </c>
      <c r="V129" s="507">
        <f>V122*地域経済性分析・初期条件!$J$15</f>
        <v>0</v>
      </c>
      <c r="W129" s="507">
        <f>W122*地域経済性分析・初期条件!$J$15</f>
        <v>0</v>
      </c>
      <c r="X129" s="507">
        <f>X122*地域経済性分析・初期条件!$J$15</f>
        <v>0</v>
      </c>
      <c r="Y129" s="507">
        <f>Y122*地域経済性分析・初期条件!$J$15</f>
        <v>0</v>
      </c>
      <c r="Z129" s="507">
        <f>Z122*地域経済性分析・初期条件!$J$15</f>
        <v>0</v>
      </c>
      <c r="AA129" s="507">
        <f>AA122*地域経済性分析・初期条件!$J$15</f>
        <v>0</v>
      </c>
      <c r="AB129" s="507">
        <f>AB122*地域経済性分析・初期条件!$J$15</f>
        <v>0</v>
      </c>
      <c r="AC129" s="507">
        <f>AC122*地域経済性分析・初期条件!$J$15</f>
        <v>0</v>
      </c>
      <c r="AD129" s="507">
        <f>AD122*地域経済性分析・初期条件!$J$15</f>
        <v>0</v>
      </c>
      <c r="AE129" s="507">
        <f>AE122*地域経済性分析・初期条件!$J$15</f>
        <v>0</v>
      </c>
      <c r="AF129" s="507">
        <f>AF122*地域経済性分析・初期条件!$J$15</f>
        <v>0</v>
      </c>
      <c r="AG129" s="507">
        <f>AG122*地域経済性分析・初期条件!$J$15</f>
        <v>0</v>
      </c>
      <c r="AH129" s="507">
        <f>AH122*地域経済性分析・初期条件!$J$15</f>
        <v>0</v>
      </c>
      <c r="AI129" s="548">
        <f t="shared" si="46"/>
        <v>0</v>
      </c>
      <c r="AJ129" s="548">
        <f t="shared" si="47"/>
        <v>0</v>
      </c>
      <c r="AK129" s="510">
        <f t="shared" si="48"/>
        <v>0</v>
      </c>
    </row>
    <row r="130" spans="1:37" ht="11.5" x14ac:dyDescent="0.25">
      <c r="A130" s="546" t="str">
        <f>A121&amp;B130</f>
        <v>0市町村税収（一次）</v>
      </c>
      <c r="B130" s="452" t="s">
        <v>342</v>
      </c>
      <c r="C130" s="465" t="s">
        <v>37</v>
      </c>
      <c r="D130" s="507">
        <f>D122*地域経済性分析・初期条件!$K$15</f>
        <v>0</v>
      </c>
      <c r="E130" s="507">
        <f>E122*地域経済性分析・初期条件!$K$15</f>
        <v>0</v>
      </c>
      <c r="F130" s="507">
        <f>F122*地域経済性分析・初期条件!$K$15</f>
        <v>0</v>
      </c>
      <c r="G130" s="507">
        <f>G122*地域経済性分析・初期条件!$K$15</f>
        <v>0</v>
      </c>
      <c r="H130" s="507">
        <f>H122*地域経済性分析・初期条件!$K$15</f>
        <v>0</v>
      </c>
      <c r="I130" s="507">
        <f>I122*地域経済性分析・初期条件!$K$15</f>
        <v>0</v>
      </c>
      <c r="J130" s="507">
        <f>J122*地域経済性分析・初期条件!$K$15</f>
        <v>0</v>
      </c>
      <c r="K130" s="507">
        <f>K122*地域経済性分析・初期条件!$K$15</f>
        <v>0</v>
      </c>
      <c r="L130" s="507">
        <f>L122*地域経済性分析・初期条件!$K$15</f>
        <v>0</v>
      </c>
      <c r="M130" s="507">
        <f>M122*地域経済性分析・初期条件!$K$15</f>
        <v>0</v>
      </c>
      <c r="N130" s="507">
        <f>N122*地域経済性分析・初期条件!$K$15</f>
        <v>0</v>
      </c>
      <c r="O130" s="507">
        <f>O122*地域経済性分析・初期条件!$K$15</f>
        <v>0</v>
      </c>
      <c r="P130" s="507">
        <f>P122*地域経済性分析・初期条件!$K$15</f>
        <v>0</v>
      </c>
      <c r="Q130" s="507">
        <f>Q122*地域経済性分析・初期条件!$K$15</f>
        <v>0</v>
      </c>
      <c r="R130" s="507">
        <f>R122*地域経済性分析・初期条件!$K$15</f>
        <v>0</v>
      </c>
      <c r="S130" s="507">
        <f>S122*地域経済性分析・初期条件!$K$15</f>
        <v>0</v>
      </c>
      <c r="T130" s="507">
        <f>T122*地域経済性分析・初期条件!$K$15</f>
        <v>0</v>
      </c>
      <c r="U130" s="507">
        <f>U122*地域経済性分析・初期条件!$K$15</f>
        <v>0</v>
      </c>
      <c r="V130" s="507">
        <f>V122*地域経済性分析・初期条件!$K$15</f>
        <v>0</v>
      </c>
      <c r="W130" s="507">
        <f>W122*地域経済性分析・初期条件!$K$15</f>
        <v>0</v>
      </c>
      <c r="X130" s="507">
        <f>X122*地域経済性分析・初期条件!$K$15</f>
        <v>0</v>
      </c>
      <c r="Y130" s="507">
        <f>Y122*地域経済性分析・初期条件!$K$15</f>
        <v>0</v>
      </c>
      <c r="Z130" s="507">
        <f>Z122*地域経済性分析・初期条件!$K$15</f>
        <v>0</v>
      </c>
      <c r="AA130" s="507">
        <f>AA122*地域経済性分析・初期条件!$K$15</f>
        <v>0</v>
      </c>
      <c r="AB130" s="507">
        <f>AB122*地域経済性分析・初期条件!$K$15</f>
        <v>0</v>
      </c>
      <c r="AC130" s="507">
        <f>AC122*地域経済性分析・初期条件!$K$15</f>
        <v>0</v>
      </c>
      <c r="AD130" s="507">
        <f>AD122*地域経済性分析・初期条件!$K$15</f>
        <v>0</v>
      </c>
      <c r="AE130" s="507">
        <f>AE122*地域経済性分析・初期条件!$K$15</f>
        <v>0</v>
      </c>
      <c r="AF130" s="507">
        <f>AF122*地域経済性分析・初期条件!$K$15</f>
        <v>0</v>
      </c>
      <c r="AG130" s="507">
        <f>AG122*地域経済性分析・初期条件!$K$15</f>
        <v>0</v>
      </c>
      <c r="AH130" s="507">
        <f>AH122*地域経済性分析・初期条件!$K$15</f>
        <v>0</v>
      </c>
      <c r="AI130" s="548">
        <f t="shared" si="46"/>
        <v>0</v>
      </c>
      <c r="AJ130" s="548">
        <f t="shared" si="47"/>
        <v>0</v>
      </c>
      <c r="AK130" s="510">
        <f t="shared" si="48"/>
        <v>0</v>
      </c>
    </row>
    <row r="131" spans="1:37" ht="11.5" x14ac:dyDescent="0.25">
      <c r="A131" s="546"/>
      <c r="B131" s="452" t="s">
        <v>344</v>
      </c>
      <c r="C131" s="465" t="s">
        <v>37</v>
      </c>
      <c r="D131" s="507">
        <f>D122*地域経済性分析・初期条件!$L$15</f>
        <v>0</v>
      </c>
      <c r="E131" s="507">
        <f>E122*地域経済性分析・初期条件!$L$15</f>
        <v>0</v>
      </c>
      <c r="F131" s="507">
        <f>F122*地域経済性分析・初期条件!$L$15</f>
        <v>0</v>
      </c>
      <c r="G131" s="507">
        <f>G122*地域経済性分析・初期条件!$L$15</f>
        <v>0</v>
      </c>
      <c r="H131" s="507">
        <f>H122*地域経済性分析・初期条件!$L$15</f>
        <v>0</v>
      </c>
      <c r="I131" s="507">
        <f>I122*地域経済性分析・初期条件!$L$15</f>
        <v>0</v>
      </c>
      <c r="J131" s="507">
        <f>J122*地域経済性分析・初期条件!$L$15</f>
        <v>0</v>
      </c>
      <c r="K131" s="507">
        <f>K122*地域経済性分析・初期条件!$L$15</f>
        <v>0</v>
      </c>
      <c r="L131" s="507">
        <f>L122*地域経済性分析・初期条件!$L$15</f>
        <v>0</v>
      </c>
      <c r="M131" s="507">
        <f>M122*地域経済性分析・初期条件!$L$15</f>
        <v>0</v>
      </c>
      <c r="N131" s="507">
        <f>N122*地域経済性分析・初期条件!$L$15</f>
        <v>0</v>
      </c>
      <c r="O131" s="507">
        <f>O122*地域経済性分析・初期条件!$L$15</f>
        <v>0</v>
      </c>
      <c r="P131" s="507">
        <f>P122*地域経済性分析・初期条件!$L$15</f>
        <v>0</v>
      </c>
      <c r="Q131" s="507">
        <f>Q122*地域経済性分析・初期条件!$L$15</f>
        <v>0</v>
      </c>
      <c r="R131" s="507">
        <f>R122*地域経済性分析・初期条件!$L$15</f>
        <v>0</v>
      </c>
      <c r="S131" s="507">
        <f>S122*地域経済性分析・初期条件!$L$15</f>
        <v>0</v>
      </c>
      <c r="T131" s="507">
        <f>T122*地域経済性分析・初期条件!$L$15</f>
        <v>0</v>
      </c>
      <c r="U131" s="507">
        <f>U122*地域経済性分析・初期条件!$L$15</f>
        <v>0</v>
      </c>
      <c r="V131" s="507">
        <f>V122*地域経済性分析・初期条件!$L$15</f>
        <v>0</v>
      </c>
      <c r="W131" s="507">
        <f>W122*地域経済性分析・初期条件!$L$15</f>
        <v>0</v>
      </c>
      <c r="X131" s="507">
        <f>X122*地域経済性分析・初期条件!$L$15</f>
        <v>0</v>
      </c>
      <c r="Y131" s="507">
        <f>Y122*地域経済性分析・初期条件!$L$15</f>
        <v>0</v>
      </c>
      <c r="Z131" s="507">
        <f>Z122*地域経済性分析・初期条件!$L$15</f>
        <v>0</v>
      </c>
      <c r="AA131" s="507">
        <f>AA122*地域経済性分析・初期条件!$L$15</f>
        <v>0</v>
      </c>
      <c r="AB131" s="507">
        <f>AB122*地域経済性分析・初期条件!$L$15</f>
        <v>0</v>
      </c>
      <c r="AC131" s="507">
        <f>AC122*地域経済性分析・初期条件!$L$15</f>
        <v>0</v>
      </c>
      <c r="AD131" s="507">
        <f>AD122*地域経済性分析・初期条件!$L$15</f>
        <v>0</v>
      </c>
      <c r="AE131" s="507">
        <f>AE122*地域経済性分析・初期条件!$L$15</f>
        <v>0</v>
      </c>
      <c r="AF131" s="507">
        <f>AF122*地域経済性分析・初期条件!$L$15</f>
        <v>0</v>
      </c>
      <c r="AG131" s="507">
        <f>AG122*地域経済性分析・初期条件!$L$15</f>
        <v>0</v>
      </c>
      <c r="AH131" s="507">
        <f>AH122*地域経済性分析・初期条件!$L$15</f>
        <v>0</v>
      </c>
      <c r="AI131" s="548">
        <f>SUM(D131:N131)</f>
        <v>0</v>
      </c>
      <c r="AJ131" s="548">
        <f t="shared" si="47"/>
        <v>0</v>
      </c>
      <c r="AK131" s="510">
        <f t="shared" si="48"/>
        <v>0</v>
      </c>
    </row>
    <row r="132" spans="1:37" ht="11.5" x14ac:dyDescent="0.25">
      <c r="A132" s="546"/>
      <c r="B132" s="452" t="s">
        <v>345</v>
      </c>
      <c r="C132" s="465" t="s">
        <v>37</v>
      </c>
      <c r="D132" s="507">
        <f>D122*地域経済性分析・初期条件!$M$15</f>
        <v>0</v>
      </c>
      <c r="E132" s="507">
        <f>E122*地域経済性分析・初期条件!$M$15</f>
        <v>0</v>
      </c>
      <c r="F132" s="507">
        <f>F122*地域経済性分析・初期条件!$M$15</f>
        <v>0</v>
      </c>
      <c r="G132" s="507">
        <f>G122*地域経済性分析・初期条件!$M$15</f>
        <v>0</v>
      </c>
      <c r="H132" s="507">
        <f>H122*地域経済性分析・初期条件!$M$15</f>
        <v>0</v>
      </c>
      <c r="I132" s="507">
        <f>I122*地域経済性分析・初期条件!$M$15</f>
        <v>0</v>
      </c>
      <c r="J132" s="507">
        <f>J122*地域経済性分析・初期条件!$M$15</f>
        <v>0</v>
      </c>
      <c r="K132" s="507">
        <f>K122*地域経済性分析・初期条件!$M$15</f>
        <v>0</v>
      </c>
      <c r="L132" s="507">
        <f>L122*地域経済性分析・初期条件!$M$15</f>
        <v>0</v>
      </c>
      <c r="M132" s="507">
        <f>M122*地域経済性分析・初期条件!$M$15</f>
        <v>0</v>
      </c>
      <c r="N132" s="507">
        <f>N122*地域経済性分析・初期条件!$M$15</f>
        <v>0</v>
      </c>
      <c r="O132" s="507">
        <f>O122*地域経済性分析・初期条件!$M$15</f>
        <v>0</v>
      </c>
      <c r="P132" s="507">
        <f>P122*地域経済性分析・初期条件!$M$15</f>
        <v>0</v>
      </c>
      <c r="Q132" s="507">
        <f>Q122*地域経済性分析・初期条件!$M$15</f>
        <v>0</v>
      </c>
      <c r="R132" s="507">
        <f>R122*地域経済性分析・初期条件!$M$15</f>
        <v>0</v>
      </c>
      <c r="S132" s="507">
        <f>S122*地域経済性分析・初期条件!$M$15</f>
        <v>0</v>
      </c>
      <c r="T132" s="507">
        <f>T122*地域経済性分析・初期条件!$M$15</f>
        <v>0</v>
      </c>
      <c r="U132" s="507">
        <f>U122*地域経済性分析・初期条件!$M$15</f>
        <v>0</v>
      </c>
      <c r="V132" s="507">
        <f>V122*地域経済性分析・初期条件!$M$15</f>
        <v>0</v>
      </c>
      <c r="W132" s="507">
        <f>W122*地域経済性分析・初期条件!$M$15</f>
        <v>0</v>
      </c>
      <c r="X132" s="507">
        <f>X122*地域経済性分析・初期条件!$M$15</f>
        <v>0</v>
      </c>
      <c r="Y132" s="507">
        <f>Y122*地域経済性分析・初期条件!$M$15</f>
        <v>0</v>
      </c>
      <c r="Z132" s="507">
        <f>Z122*地域経済性分析・初期条件!$M$15</f>
        <v>0</v>
      </c>
      <c r="AA132" s="507">
        <f>AA122*地域経済性分析・初期条件!$M$15</f>
        <v>0</v>
      </c>
      <c r="AB132" s="507">
        <f>AB122*地域経済性分析・初期条件!$M$15</f>
        <v>0</v>
      </c>
      <c r="AC132" s="507">
        <f>AC122*地域経済性分析・初期条件!$M$15</f>
        <v>0</v>
      </c>
      <c r="AD132" s="507">
        <f>AD122*地域経済性分析・初期条件!$M$15</f>
        <v>0</v>
      </c>
      <c r="AE132" s="507">
        <f>AE122*地域経済性分析・初期条件!$M$15</f>
        <v>0</v>
      </c>
      <c r="AF132" s="507">
        <f>AF122*地域経済性分析・初期条件!$M$15</f>
        <v>0</v>
      </c>
      <c r="AG132" s="507">
        <f>AG122*地域経済性分析・初期条件!$M$15</f>
        <v>0</v>
      </c>
      <c r="AH132" s="507">
        <f>AH122*地域経済性分析・初期条件!$M$15</f>
        <v>0</v>
      </c>
      <c r="AI132" s="548">
        <f>SUM(D132:N132)</f>
        <v>0</v>
      </c>
      <c r="AJ132" s="548">
        <f t="shared" si="47"/>
        <v>0</v>
      </c>
      <c r="AK132" s="510">
        <f t="shared" si="48"/>
        <v>0</v>
      </c>
    </row>
    <row r="133" spans="1:37" ht="11.5" x14ac:dyDescent="0.25">
      <c r="A133" s="546"/>
      <c r="B133" s="452" t="s">
        <v>346</v>
      </c>
      <c r="C133" s="465" t="s">
        <v>37</v>
      </c>
      <c r="D133" s="507">
        <f>D122*地域経済性分析・初期条件!$N$15</f>
        <v>0</v>
      </c>
      <c r="E133" s="507">
        <f>E122*地域経済性分析・初期条件!$N$15</f>
        <v>0</v>
      </c>
      <c r="F133" s="507">
        <f>F122*地域経済性分析・初期条件!$N$15</f>
        <v>0</v>
      </c>
      <c r="G133" s="507">
        <f>G122*地域経済性分析・初期条件!$N$15</f>
        <v>0</v>
      </c>
      <c r="H133" s="507">
        <f>H122*地域経済性分析・初期条件!$N$15</f>
        <v>0</v>
      </c>
      <c r="I133" s="507">
        <f>I122*地域経済性分析・初期条件!$N$15</f>
        <v>0</v>
      </c>
      <c r="J133" s="507">
        <f>J122*地域経済性分析・初期条件!$N$15</f>
        <v>0</v>
      </c>
      <c r="K133" s="507">
        <f>K122*地域経済性分析・初期条件!$N$15</f>
        <v>0</v>
      </c>
      <c r="L133" s="507">
        <f>L122*地域経済性分析・初期条件!$N$15</f>
        <v>0</v>
      </c>
      <c r="M133" s="507">
        <f>M122*地域経済性分析・初期条件!$N$15</f>
        <v>0</v>
      </c>
      <c r="N133" s="507">
        <f>N122*地域経済性分析・初期条件!$N$15</f>
        <v>0</v>
      </c>
      <c r="O133" s="507">
        <f>O122*地域経済性分析・初期条件!$N$15</f>
        <v>0</v>
      </c>
      <c r="P133" s="507">
        <f>P122*地域経済性分析・初期条件!$N$15</f>
        <v>0</v>
      </c>
      <c r="Q133" s="507">
        <f>Q122*地域経済性分析・初期条件!$N$15</f>
        <v>0</v>
      </c>
      <c r="R133" s="507">
        <f>R122*地域経済性分析・初期条件!$N$15</f>
        <v>0</v>
      </c>
      <c r="S133" s="507">
        <f>S122*地域経済性分析・初期条件!$N$15</f>
        <v>0</v>
      </c>
      <c r="T133" s="507">
        <f>T122*地域経済性分析・初期条件!$N$15</f>
        <v>0</v>
      </c>
      <c r="U133" s="507">
        <f>U122*地域経済性分析・初期条件!$N$15</f>
        <v>0</v>
      </c>
      <c r="V133" s="507">
        <f>V122*地域経済性分析・初期条件!$N$15</f>
        <v>0</v>
      </c>
      <c r="W133" s="507">
        <f>W122*地域経済性分析・初期条件!$N$15</f>
        <v>0</v>
      </c>
      <c r="X133" s="507">
        <f>X122*地域経済性分析・初期条件!$N$15</f>
        <v>0</v>
      </c>
      <c r="Y133" s="507">
        <f>Y122*地域経済性分析・初期条件!$N$15</f>
        <v>0</v>
      </c>
      <c r="Z133" s="507">
        <f>Z122*地域経済性分析・初期条件!$N$15</f>
        <v>0</v>
      </c>
      <c r="AA133" s="507">
        <f>AA122*地域経済性分析・初期条件!$N$15</f>
        <v>0</v>
      </c>
      <c r="AB133" s="507">
        <f>AB122*地域経済性分析・初期条件!$N$15</f>
        <v>0</v>
      </c>
      <c r="AC133" s="507">
        <f>AC122*地域経済性分析・初期条件!$N$15</f>
        <v>0</v>
      </c>
      <c r="AD133" s="507">
        <f>AD122*地域経済性分析・初期条件!$N$15</f>
        <v>0</v>
      </c>
      <c r="AE133" s="507">
        <f>AE122*地域経済性分析・初期条件!$N$15</f>
        <v>0</v>
      </c>
      <c r="AF133" s="507">
        <f>AF122*地域経済性分析・初期条件!$N$15</f>
        <v>0</v>
      </c>
      <c r="AG133" s="507">
        <f>AG122*地域経済性分析・初期条件!$N$15</f>
        <v>0</v>
      </c>
      <c r="AH133" s="507">
        <f>AH122*地域経済性分析・初期条件!$N$15</f>
        <v>0</v>
      </c>
      <c r="AI133" s="548">
        <f>SUM(D133:N133)</f>
        <v>0</v>
      </c>
      <c r="AJ133" s="548">
        <f t="shared" si="47"/>
        <v>0</v>
      </c>
      <c r="AK133" s="510">
        <f t="shared" si="48"/>
        <v>0</v>
      </c>
    </row>
    <row r="134" spans="1:37" ht="12" thickBot="1" x14ac:dyDescent="0.3">
      <c r="A134" s="682"/>
      <c r="B134" s="683" t="s">
        <v>347</v>
      </c>
      <c r="C134" s="684" t="s">
        <v>37</v>
      </c>
      <c r="D134" s="685">
        <f>D122*地域経済性分析・初期条件!$O$15</f>
        <v>0</v>
      </c>
      <c r="E134" s="685">
        <f>E122*地域経済性分析・初期条件!$O$15</f>
        <v>0</v>
      </c>
      <c r="F134" s="685">
        <f>F122*地域経済性分析・初期条件!$O$15</f>
        <v>0</v>
      </c>
      <c r="G134" s="685">
        <f>G122*地域経済性分析・初期条件!$O$15</f>
        <v>0</v>
      </c>
      <c r="H134" s="685">
        <f>H122*地域経済性分析・初期条件!$O$15</f>
        <v>0</v>
      </c>
      <c r="I134" s="685">
        <f>I122*地域経済性分析・初期条件!$O$15</f>
        <v>0</v>
      </c>
      <c r="J134" s="685">
        <f>J122*地域経済性分析・初期条件!$O$15</f>
        <v>0</v>
      </c>
      <c r="K134" s="685">
        <f>K122*地域経済性分析・初期条件!$O$15</f>
        <v>0</v>
      </c>
      <c r="L134" s="685">
        <f>L122*地域経済性分析・初期条件!$O$15</f>
        <v>0</v>
      </c>
      <c r="M134" s="685">
        <f>M122*地域経済性分析・初期条件!$O$15</f>
        <v>0</v>
      </c>
      <c r="N134" s="685">
        <f>N122*地域経済性分析・初期条件!$O$15</f>
        <v>0</v>
      </c>
      <c r="O134" s="685">
        <f>O122*地域経済性分析・初期条件!$O$15</f>
        <v>0</v>
      </c>
      <c r="P134" s="685">
        <f>P122*地域経済性分析・初期条件!$O$15</f>
        <v>0</v>
      </c>
      <c r="Q134" s="685">
        <f>Q122*地域経済性分析・初期条件!$O$15</f>
        <v>0</v>
      </c>
      <c r="R134" s="685">
        <f>R122*地域経済性分析・初期条件!$O$15</f>
        <v>0</v>
      </c>
      <c r="S134" s="685">
        <f>S122*地域経済性分析・初期条件!$O$15</f>
        <v>0</v>
      </c>
      <c r="T134" s="685">
        <f>T122*地域経済性分析・初期条件!$O$15</f>
        <v>0</v>
      </c>
      <c r="U134" s="685">
        <f>U122*地域経済性分析・初期条件!$O$15</f>
        <v>0</v>
      </c>
      <c r="V134" s="685">
        <f>V122*地域経済性分析・初期条件!$O$15</f>
        <v>0</v>
      </c>
      <c r="W134" s="685">
        <f>W122*地域経済性分析・初期条件!$O$15</f>
        <v>0</v>
      </c>
      <c r="X134" s="685">
        <f>X122*地域経済性分析・初期条件!$O$15</f>
        <v>0</v>
      </c>
      <c r="Y134" s="685">
        <f>Y122*地域経済性分析・初期条件!$O$15</f>
        <v>0</v>
      </c>
      <c r="Z134" s="685">
        <f>Z122*地域経済性分析・初期条件!$O$15</f>
        <v>0</v>
      </c>
      <c r="AA134" s="685">
        <f>AA122*地域経済性分析・初期条件!$O$15</f>
        <v>0</v>
      </c>
      <c r="AB134" s="685">
        <f>AB122*地域経済性分析・初期条件!$O$15</f>
        <v>0</v>
      </c>
      <c r="AC134" s="685">
        <f>AC122*地域経済性分析・初期条件!$O$15</f>
        <v>0</v>
      </c>
      <c r="AD134" s="685">
        <f>AD122*地域経済性分析・初期条件!$O$15</f>
        <v>0</v>
      </c>
      <c r="AE134" s="685">
        <f>AE122*地域経済性分析・初期条件!$O$15</f>
        <v>0</v>
      </c>
      <c r="AF134" s="685">
        <f>AF122*地域経済性分析・初期条件!$O$15</f>
        <v>0</v>
      </c>
      <c r="AG134" s="685">
        <f>AG122*地域経済性分析・初期条件!$O$15</f>
        <v>0</v>
      </c>
      <c r="AH134" s="685">
        <f>AH122*地域経済性分析・初期条件!$O$15</f>
        <v>0</v>
      </c>
      <c r="AI134" s="687">
        <f>SUM(D134:N134)</f>
        <v>0</v>
      </c>
      <c r="AJ134" s="687">
        <f t="shared" si="47"/>
        <v>0</v>
      </c>
      <c r="AK134" s="688">
        <f t="shared" si="48"/>
        <v>0</v>
      </c>
    </row>
    <row r="135" spans="1:37" ht="12" thickTop="1" x14ac:dyDescent="0.25">
      <c r="A135" s="1256" t="s">
        <v>1049</v>
      </c>
      <c r="B135" s="452"/>
      <c r="C135" s="465" t="s">
        <v>1050</v>
      </c>
      <c r="D135" s="507">
        <f>SUM(D99:D106,D113:D120,,D127:D134)</f>
        <v>64552040.476037376</v>
      </c>
      <c r="E135" s="507">
        <f t="shared" ref="E135:AH135" si="49">SUM(E99:E106,E113:E120,,E127:E134)</f>
        <v>0</v>
      </c>
      <c r="F135" s="507">
        <f t="shared" si="49"/>
        <v>0</v>
      </c>
      <c r="G135" s="507">
        <f t="shared" si="49"/>
        <v>0</v>
      </c>
      <c r="H135" s="507">
        <f t="shared" si="49"/>
        <v>0</v>
      </c>
      <c r="I135" s="507">
        <f t="shared" si="49"/>
        <v>0</v>
      </c>
      <c r="J135" s="507">
        <f t="shared" si="49"/>
        <v>0</v>
      </c>
      <c r="K135" s="507">
        <f t="shared" si="49"/>
        <v>0</v>
      </c>
      <c r="L135" s="507">
        <f t="shared" si="49"/>
        <v>0</v>
      </c>
      <c r="M135" s="507">
        <f t="shared" si="49"/>
        <v>0</v>
      </c>
      <c r="N135" s="507">
        <f t="shared" si="49"/>
        <v>0</v>
      </c>
      <c r="O135" s="507">
        <f t="shared" si="49"/>
        <v>0</v>
      </c>
      <c r="P135" s="507">
        <f t="shared" si="49"/>
        <v>0</v>
      </c>
      <c r="Q135" s="507">
        <f t="shared" si="49"/>
        <v>0</v>
      </c>
      <c r="R135" s="507">
        <f t="shared" si="49"/>
        <v>0</v>
      </c>
      <c r="S135" s="507">
        <f t="shared" si="49"/>
        <v>0</v>
      </c>
      <c r="T135" s="507">
        <f t="shared" si="49"/>
        <v>0</v>
      </c>
      <c r="U135" s="507">
        <f t="shared" si="49"/>
        <v>0</v>
      </c>
      <c r="V135" s="507">
        <f t="shared" si="49"/>
        <v>0</v>
      </c>
      <c r="W135" s="507">
        <f t="shared" si="49"/>
        <v>0</v>
      </c>
      <c r="X135" s="507">
        <f t="shared" si="49"/>
        <v>0</v>
      </c>
      <c r="Y135" s="507">
        <f t="shared" si="49"/>
        <v>0</v>
      </c>
      <c r="Z135" s="507">
        <f t="shared" si="49"/>
        <v>0</v>
      </c>
      <c r="AA135" s="507">
        <f t="shared" si="49"/>
        <v>0</v>
      </c>
      <c r="AB135" s="507">
        <f t="shared" si="49"/>
        <v>0</v>
      </c>
      <c r="AC135" s="507">
        <f t="shared" si="49"/>
        <v>0</v>
      </c>
      <c r="AD135" s="507">
        <f t="shared" si="49"/>
        <v>0</v>
      </c>
      <c r="AE135" s="507">
        <f t="shared" si="49"/>
        <v>0</v>
      </c>
      <c r="AF135" s="507">
        <f t="shared" si="49"/>
        <v>0</v>
      </c>
      <c r="AG135" s="507">
        <f t="shared" si="49"/>
        <v>0</v>
      </c>
      <c r="AH135" s="507">
        <f t="shared" si="49"/>
        <v>0</v>
      </c>
      <c r="AI135" s="548">
        <f>AI92-SUM(AI99:AI106,AI113:AI120,AI127:AI134)</f>
        <v>326370404.03243929</v>
      </c>
      <c r="AJ135" s="548">
        <f>AJ92-SUM(AJ99:AJ106,AJ113:AJ120,AJ127:AJ134)</f>
        <v>326370404.03243929</v>
      </c>
      <c r="AK135" s="510">
        <f>AK92-SUM(AK99:AK106,AK113:AK120,AK127:AK134)</f>
        <v>326370404.03243929</v>
      </c>
    </row>
    <row r="136" spans="1:37" ht="11.5" x14ac:dyDescent="0.25">
      <c r="A136" s="1257" t="s">
        <v>1051</v>
      </c>
      <c r="B136" s="1258"/>
      <c r="C136" s="1259" t="s">
        <v>37</v>
      </c>
      <c r="D136" s="1254">
        <f>D92*1.1-D135</f>
        <v>365462648.48328698</v>
      </c>
      <c r="E136" s="1254">
        <f t="shared" ref="E136:AH136" si="50">E92*1.1-E135</f>
        <v>0</v>
      </c>
      <c r="F136" s="1254">
        <f t="shared" si="50"/>
        <v>0</v>
      </c>
      <c r="G136" s="1254">
        <f t="shared" si="50"/>
        <v>0</v>
      </c>
      <c r="H136" s="1254">
        <f t="shared" si="50"/>
        <v>0</v>
      </c>
      <c r="I136" s="1254">
        <f t="shared" si="50"/>
        <v>0</v>
      </c>
      <c r="J136" s="1254">
        <f t="shared" si="50"/>
        <v>0</v>
      </c>
      <c r="K136" s="1254">
        <f t="shared" si="50"/>
        <v>0</v>
      </c>
      <c r="L136" s="1254">
        <f t="shared" si="50"/>
        <v>0</v>
      </c>
      <c r="M136" s="1254">
        <f t="shared" si="50"/>
        <v>0</v>
      </c>
      <c r="N136" s="1254">
        <f t="shared" si="50"/>
        <v>0</v>
      </c>
      <c r="O136" s="1254">
        <f t="shared" si="50"/>
        <v>0</v>
      </c>
      <c r="P136" s="1254">
        <f t="shared" si="50"/>
        <v>0</v>
      </c>
      <c r="Q136" s="1254">
        <f t="shared" si="50"/>
        <v>0</v>
      </c>
      <c r="R136" s="1254">
        <f t="shared" si="50"/>
        <v>0</v>
      </c>
      <c r="S136" s="1254">
        <f t="shared" si="50"/>
        <v>0</v>
      </c>
      <c r="T136" s="1254">
        <f t="shared" si="50"/>
        <v>0</v>
      </c>
      <c r="U136" s="1254">
        <f t="shared" si="50"/>
        <v>0</v>
      </c>
      <c r="V136" s="1254">
        <f t="shared" si="50"/>
        <v>0</v>
      </c>
      <c r="W136" s="1254">
        <f t="shared" si="50"/>
        <v>0</v>
      </c>
      <c r="X136" s="1254">
        <f t="shared" si="50"/>
        <v>0</v>
      </c>
      <c r="Y136" s="1254">
        <f t="shared" si="50"/>
        <v>0</v>
      </c>
      <c r="Z136" s="1254">
        <f t="shared" si="50"/>
        <v>0</v>
      </c>
      <c r="AA136" s="1254">
        <f t="shared" si="50"/>
        <v>0</v>
      </c>
      <c r="AB136" s="1254">
        <f t="shared" si="50"/>
        <v>0</v>
      </c>
      <c r="AC136" s="1254">
        <f t="shared" si="50"/>
        <v>0</v>
      </c>
      <c r="AD136" s="1254">
        <f t="shared" si="50"/>
        <v>0</v>
      </c>
      <c r="AE136" s="1254">
        <f t="shared" si="50"/>
        <v>0</v>
      </c>
      <c r="AF136" s="1254">
        <f t="shared" si="50"/>
        <v>0</v>
      </c>
      <c r="AG136" s="1254">
        <f t="shared" si="50"/>
        <v>0</v>
      </c>
      <c r="AH136" s="1254">
        <f t="shared" si="50"/>
        <v>0</v>
      </c>
      <c r="AI136" s="550">
        <f>AI93-SUM(AI100:AI107,AI114:AI121,AI128:AI134)</f>
        <v>-45161181.888733715</v>
      </c>
      <c r="AJ136" s="550">
        <f>AJ93-SUM(AJ100:AJ107,AJ114:AJ121,AJ128:AJ134)</f>
        <v>-45161181.888733715</v>
      </c>
      <c r="AK136" s="551">
        <f>AK93-SUM(AK100:AK107,AK114:AK121,AK128:AK134)</f>
        <v>-45161181.888733715</v>
      </c>
    </row>
    <row r="137" spans="1:37" ht="11.5" x14ac:dyDescent="0.25">
      <c r="A137" s="504" t="s">
        <v>207</v>
      </c>
      <c r="B137" s="504"/>
      <c r="C137" s="496"/>
      <c r="D137" s="5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552"/>
      <c r="AJ137" s="552"/>
      <c r="AK137" s="553"/>
    </row>
    <row r="138" spans="1:37" ht="11.5" x14ac:dyDescent="0.25">
      <c r="A138" s="452" t="str">
        <f>B31</f>
        <v>燃料　調達</v>
      </c>
      <c r="B138" s="452"/>
      <c r="C138" s="464" t="s">
        <v>37</v>
      </c>
      <c r="D138" s="507"/>
      <c r="E138" s="507">
        <f>E31</f>
        <v>-231000000</v>
      </c>
      <c r="F138" s="507">
        <f t="shared" ref="F138:AH138" si="51">F31</f>
        <v>-231000000</v>
      </c>
      <c r="G138" s="507">
        <f t="shared" si="51"/>
        <v>-231000000</v>
      </c>
      <c r="H138" s="507">
        <f t="shared" si="51"/>
        <v>-231000000</v>
      </c>
      <c r="I138" s="507">
        <f t="shared" si="51"/>
        <v>-231000000</v>
      </c>
      <c r="J138" s="507">
        <f t="shared" si="51"/>
        <v>-231000000</v>
      </c>
      <c r="K138" s="507">
        <f t="shared" si="51"/>
        <v>-231000000</v>
      </c>
      <c r="L138" s="507">
        <f t="shared" si="51"/>
        <v>-231000000</v>
      </c>
      <c r="M138" s="507">
        <f t="shared" si="51"/>
        <v>-231000000</v>
      </c>
      <c r="N138" s="507">
        <f t="shared" si="51"/>
        <v>-231000000</v>
      </c>
      <c r="O138" s="507">
        <f t="shared" si="51"/>
        <v>-231000000</v>
      </c>
      <c r="P138" s="507">
        <f t="shared" si="51"/>
        <v>-231000000</v>
      </c>
      <c r="Q138" s="507">
        <f t="shared" si="51"/>
        <v>-231000000</v>
      </c>
      <c r="R138" s="507">
        <f t="shared" si="51"/>
        <v>-231000000</v>
      </c>
      <c r="S138" s="507">
        <f t="shared" si="51"/>
        <v>-231000000</v>
      </c>
      <c r="T138" s="507">
        <f t="shared" si="51"/>
        <v>-231000000</v>
      </c>
      <c r="U138" s="507">
        <f t="shared" si="51"/>
        <v>-231000000</v>
      </c>
      <c r="V138" s="507">
        <f t="shared" si="51"/>
        <v>-231000000</v>
      </c>
      <c r="W138" s="507">
        <f t="shared" si="51"/>
        <v>-231000000</v>
      </c>
      <c r="X138" s="507">
        <f t="shared" si="51"/>
        <v>-231000000</v>
      </c>
      <c r="Y138" s="507">
        <f t="shared" si="51"/>
        <v>-231000000</v>
      </c>
      <c r="Z138" s="507">
        <f t="shared" si="51"/>
        <v>-231000000</v>
      </c>
      <c r="AA138" s="507">
        <f t="shared" si="51"/>
        <v>-231000000</v>
      </c>
      <c r="AB138" s="507">
        <f t="shared" si="51"/>
        <v>-231000000</v>
      </c>
      <c r="AC138" s="507">
        <f t="shared" si="51"/>
        <v>-231000000</v>
      </c>
      <c r="AD138" s="507">
        <f t="shared" si="51"/>
        <v>-231000000</v>
      </c>
      <c r="AE138" s="507">
        <f t="shared" si="51"/>
        <v>-231000000</v>
      </c>
      <c r="AF138" s="507">
        <f t="shared" si="51"/>
        <v>-231000000</v>
      </c>
      <c r="AG138" s="507">
        <f t="shared" si="51"/>
        <v>-231000000</v>
      </c>
      <c r="AH138" s="507">
        <f t="shared" si="51"/>
        <v>-231000000</v>
      </c>
      <c r="AI138" s="548">
        <f>SUM(D138:N138)</f>
        <v>-2310000000</v>
      </c>
      <c r="AJ138" s="548">
        <f>SUM(D138:X138)</f>
        <v>-4620000000</v>
      </c>
      <c r="AK138" s="510">
        <f>SUM(D138:AH138)</f>
        <v>-6930000000</v>
      </c>
    </row>
    <row r="139" spans="1:37" ht="11.5" x14ac:dyDescent="0.25">
      <c r="A139" s="501" t="str">
        <f>地域経済性分析・初期条件!$G$37</f>
        <v>はん用機械器具製造業</v>
      </c>
      <c r="C139" s="465"/>
      <c r="D139" s="507"/>
      <c r="E139" s="478"/>
      <c r="F139" s="479"/>
      <c r="G139" s="478"/>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548"/>
      <c r="AJ139" s="548"/>
      <c r="AK139" s="510"/>
    </row>
    <row r="140" spans="1:37" ht="11.5" x14ac:dyDescent="0.25">
      <c r="A140" s="546" t="str">
        <f>A139&amp;B140</f>
        <v>はん用機械器具製造業売上（税別）</v>
      </c>
      <c r="B140" s="452" t="s">
        <v>1047</v>
      </c>
      <c r="C140" s="464" t="s">
        <v>37</v>
      </c>
      <c r="D140" s="507">
        <f>D138*地域経済性分析・初期条件!$F$37</f>
        <v>0</v>
      </c>
      <c r="E140" s="507">
        <f>IF(E138&lt;0,0,E138*地域経済性分析・初期条件!$F$37)</f>
        <v>0</v>
      </c>
      <c r="F140" s="507">
        <f>IF(F138&lt;0,0,F138*地域経済性分析・初期条件!$F$37)</f>
        <v>0</v>
      </c>
      <c r="G140" s="507">
        <f>IF(G138&lt;0,0,G138*地域経済性分析・初期条件!$F$37)</f>
        <v>0</v>
      </c>
      <c r="H140" s="507">
        <f>IF(H138&lt;0,0,H138*地域経済性分析・初期条件!$F$37)</f>
        <v>0</v>
      </c>
      <c r="I140" s="507">
        <f>IF(I138&lt;0,0,I138*地域経済性分析・初期条件!$F$37)</f>
        <v>0</v>
      </c>
      <c r="J140" s="507">
        <f>IF(J138&lt;0,0,J138*地域経済性分析・初期条件!$F$37)</f>
        <v>0</v>
      </c>
      <c r="K140" s="507">
        <f>IF(K138&lt;0,0,K138*地域経済性分析・初期条件!$F$37)</f>
        <v>0</v>
      </c>
      <c r="L140" s="507">
        <f>IF(L138&lt;0,0,L138*地域経済性分析・初期条件!$F$37)</f>
        <v>0</v>
      </c>
      <c r="M140" s="507">
        <f>IF(M138&lt;0,0,M138*地域経済性分析・初期条件!$F$37)</f>
        <v>0</v>
      </c>
      <c r="N140" s="507">
        <f>IF(N138&lt;0,0,N138*地域経済性分析・初期条件!$F$37)</f>
        <v>0</v>
      </c>
      <c r="O140" s="507">
        <f>IF(O138&lt;0,0,O138*地域経済性分析・初期条件!$F$37)</f>
        <v>0</v>
      </c>
      <c r="P140" s="507">
        <f>IF(P138&lt;0,0,P138*地域経済性分析・初期条件!$F$37)</f>
        <v>0</v>
      </c>
      <c r="Q140" s="507">
        <f>IF(Q138&lt;0,0,Q138*地域経済性分析・初期条件!$F$37)</f>
        <v>0</v>
      </c>
      <c r="R140" s="507">
        <f>IF(R138&lt;0,0,R138*地域経済性分析・初期条件!$F$37)</f>
        <v>0</v>
      </c>
      <c r="S140" s="507">
        <f>IF(S138&lt;0,0,S138*地域経済性分析・初期条件!$F$37)</f>
        <v>0</v>
      </c>
      <c r="T140" s="507">
        <f>IF(T138&lt;0,0,T138*地域経済性分析・初期条件!$F$37)</f>
        <v>0</v>
      </c>
      <c r="U140" s="507">
        <f>IF(U138&lt;0,0,U138*地域経済性分析・初期条件!$F$37)</f>
        <v>0</v>
      </c>
      <c r="V140" s="507">
        <f>IF(V138&lt;0,0,V138*地域経済性分析・初期条件!$F$37)</f>
        <v>0</v>
      </c>
      <c r="W140" s="507">
        <f>IF(W138&lt;0,0,W138*地域経済性分析・初期条件!$F$37)</f>
        <v>0</v>
      </c>
      <c r="X140" s="507">
        <f>IF(X138&lt;0,0,X138*地域経済性分析・初期条件!$F$37)</f>
        <v>0</v>
      </c>
      <c r="Y140" s="507">
        <f>IF(Y138&lt;0,0,Y138*地域経済性分析・初期条件!$F$37)</f>
        <v>0</v>
      </c>
      <c r="Z140" s="507">
        <f>IF(Z138&lt;0,0,Z138*地域経済性分析・初期条件!$F$37)</f>
        <v>0</v>
      </c>
      <c r="AA140" s="507">
        <f>IF(AA138&lt;0,0,AA138*地域経済性分析・初期条件!$F$37)</f>
        <v>0</v>
      </c>
      <c r="AB140" s="507">
        <f>IF(AB138&lt;0,0,AB138*地域経済性分析・初期条件!$F$37)</f>
        <v>0</v>
      </c>
      <c r="AC140" s="507">
        <f>IF(AC138&lt;0,0,AC138*地域経済性分析・初期条件!$F$37)</f>
        <v>0</v>
      </c>
      <c r="AD140" s="507">
        <f>IF(AD138&lt;0,0,AD138*地域経済性分析・初期条件!$F$37)</f>
        <v>0</v>
      </c>
      <c r="AE140" s="507">
        <f>IF(AE138&lt;0,0,AE138*地域経済性分析・初期条件!$F$37)</f>
        <v>0</v>
      </c>
      <c r="AF140" s="507">
        <f>IF(AF138&lt;0,0,AF138*地域経済性分析・初期条件!$F$37)</f>
        <v>0</v>
      </c>
      <c r="AG140" s="507">
        <f>IF(AG138&lt;0,0,AG138*地域経済性分析・初期条件!$F$37)</f>
        <v>0</v>
      </c>
      <c r="AH140" s="507">
        <f>IF(AH138&lt;0,0,AH138*地域経済性分析・初期条件!$F$37)</f>
        <v>0</v>
      </c>
      <c r="AI140" s="548">
        <f t="shared" ref="AI140:AI148" si="52">SUM(D140:N140)</f>
        <v>0</v>
      </c>
      <c r="AJ140" s="548">
        <f t="shared" ref="AJ140:AJ148" si="53">SUM(D140:X140)</f>
        <v>0</v>
      </c>
      <c r="AK140" s="510">
        <f t="shared" ref="AK140:AK148" si="54">SUM(D140:AH140)</f>
        <v>0</v>
      </c>
    </row>
    <row r="141" spans="1:37" ht="11.5" x14ac:dyDescent="0.25">
      <c r="A141" s="546" t="str">
        <f>A139&amp;B141</f>
        <v>はん用機械器具製造業消費税（都道府県）</v>
      </c>
      <c r="B141" s="452" t="s">
        <v>263</v>
      </c>
      <c r="C141" s="464" t="s">
        <v>37</v>
      </c>
      <c r="D141" s="507">
        <f>IF(D140&lt;0,0,D140*波及効果シート!$D$72)</f>
        <v>0</v>
      </c>
      <c r="E141" s="507">
        <f>IF(E140&lt;0,0,E140*波及効果シート!$D$72)</f>
        <v>0</v>
      </c>
      <c r="F141" s="507">
        <f>IF(F140&lt;0,0,F140*波及効果シート!$D$72)</f>
        <v>0</v>
      </c>
      <c r="G141" s="507">
        <f>IF(G140&lt;0,0,G140*波及効果シート!$D$72)</f>
        <v>0</v>
      </c>
      <c r="H141" s="507">
        <f>IF(H140&lt;0,0,H140*波及効果シート!$D$72)</f>
        <v>0</v>
      </c>
      <c r="I141" s="507">
        <f>IF(I140&lt;0,0,I140*波及効果シート!$D$72)</f>
        <v>0</v>
      </c>
      <c r="J141" s="507">
        <f>IF(J140&lt;0,0,J140*波及効果シート!$D$72)</f>
        <v>0</v>
      </c>
      <c r="K141" s="507">
        <f>IF(K140&lt;0,0,K140*波及効果シート!$D$72)</f>
        <v>0</v>
      </c>
      <c r="L141" s="507">
        <f>IF(L140&lt;0,0,L140*波及効果シート!$D$72)</f>
        <v>0</v>
      </c>
      <c r="M141" s="507">
        <f>IF(M140&lt;0,0,M140*波及効果シート!$D$72)</f>
        <v>0</v>
      </c>
      <c r="N141" s="507">
        <f>IF(N140&lt;0,0,N140*波及効果シート!$D$72)</f>
        <v>0</v>
      </c>
      <c r="O141" s="507">
        <f>IF(O140&lt;0,0,O140*波及効果シート!$D$72)</f>
        <v>0</v>
      </c>
      <c r="P141" s="507">
        <f>IF(P140&lt;0,0,P140*波及効果シート!$D$72)</f>
        <v>0</v>
      </c>
      <c r="Q141" s="507">
        <f>IF(Q140&lt;0,0,Q140*波及効果シート!$D$72)</f>
        <v>0</v>
      </c>
      <c r="R141" s="507">
        <f>IF(R140&lt;0,0,R140*波及効果シート!$D$72)</f>
        <v>0</v>
      </c>
      <c r="S141" s="507">
        <f>IF(S140&lt;0,0,S140*波及効果シート!$D$72)</f>
        <v>0</v>
      </c>
      <c r="T141" s="507">
        <f>IF(T140&lt;0,0,T140*波及効果シート!$D$72)</f>
        <v>0</v>
      </c>
      <c r="U141" s="507">
        <f>IF(U140&lt;0,0,U140*波及効果シート!$D$72)</f>
        <v>0</v>
      </c>
      <c r="V141" s="507">
        <f>IF(V140&lt;0,0,V140*波及効果シート!$D$72)</f>
        <v>0</v>
      </c>
      <c r="W141" s="507">
        <f>IF(W140&lt;0,0,W140*波及効果シート!$D$72)</f>
        <v>0</v>
      </c>
      <c r="X141" s="507">
        <f>IF(X140&lt;0,0,X140*波及効果シート!$D$72)</f>
        <v>0</v>
      </c>
      <c r="Y141" s="507">
        <f>IF(Y140&lt;0,0,Y140*波及効果シート!$D$72)</f>
        <v>0</v>
      </c>
      <c r="Z141" s="507">
        <f>IF(Z140&lt;0,0,Z140*波及効果シート!$D$72)</f>
        <v>0</v>
      </c>
      <c r="AA141" s="507">
        <f>IF(AA140&lt;0,0,AA140*波及効果シート!$D$72)</f>
        <v>0</v>
      </c>
      <c r="AB141" s="507">
        <f>IF(AB140&lt;0,0,AB140*波及効果シート!$D$72)</f>
        <v>0</v>
      </c>
      <c r="AC141" s="507">
        <f>IF(AC140&lt;0,0,AC140*波及効果シート!$D$72)</f>
        <v>0</v>
      </c>
      <c r="AD141" s="507">
        <f>IF(AD140&lt;0,0,AD140*波及効果シート!$D$72)</f>
        <v>0</v>
      </c>
      <c r="AE141" s="507">
        <f>IF(AE140&lt;0,0,AE140*波及効果シート!$D$72)</f>
        <v>0</v>
      </c>
      <c r="AF141" s="507">
        <f>IF(AF140&lt;0,0,AF140*波及効果シート!$D$72)</f>
        <v>0</v>
      </c>
      <c r="AG141" s="507">
        <f>IF(AG140&lt;0,0,AG140*波及効果シート!$D$72)</f>
        <v>0</v>
      </c>
      <c r="AH141" s="507">
        <f>IF(AH140&lt;0,0,AH140*波及効果シート!$D$72)</f>
        <v>0</v>
      </c>
      <c r="AI141" s="548">
        <f t="shared" si="52"/>
        <v>0</v>
      </c>
      <c r="AJ141" s="548">
        <f t="shared" si="53"/>
        <v>0</v>
      </c>
      <c r="AK141" s="510">
        <f t="shared" si="54"/>
        <v>0</v>
      </c>
    </row>
    <row r="142" spans="1:37" ht="11.5" x14ac:dyDescent="0.25">
      <c r="A142" s="546" t="str">
        <f>A139&amp;B142</f>
        <v>はん用機械器具製造業消費税（市町村）</v>
      </c>
      <c r="B142" s="452" t="s">
        <v>1048</v>
      </c>
      <c r="C142" s="465" t="s">
        <v>37</v>
      </c>
      <c r="D142" s="507">
        <f>IF(D140&lt;0,0,D140*波及効果シート!$D$74)</f>
        <v>0</v>
      </c>
      <c r="E142" s="507">
        <f>IF(E140&lt;0,0,E140*波及効果シート!$D$74)</f>
        <v>0</v>
      </c>
      <c r="F142" s="507">
        <f>IF(F140&lt;0,0,F140*波及効果シート!$D$74)</f>
        <v>0</v>
      </c>
      <c r="G142" s="507">
        <f>IF(G140&lt;0,0,G140*波及効果シート!$D$74)</f>
        <v>0</v>
      </c>
      <c r="H142" s="507">
        <f>IF(H140&lt;0,0,H140*波及効果シート!$D$74)</f>
        <v>0</v>
      </c>
      <c r="I142" s="507">
        <f>IF(I140&lt;0,0,I140*波及効果シート!$D$74)</f>
        <v>0</v>
      </c>
      <c r="J142" s="507">
        <f>IF(J140&lt;0,0,J140*波及効果シート!$D$74)</f>
        <v>0</v>
      </c>
      <c r="K142" s="507">
        <f>IF(K140&lt;0,0,K140*波及効果シート!$D$74)</f>
        <v>0</v>
      </c>
      <c r="L142" s="507">
        <f>IF(L140&lt;0,0,L140*波及効果シート!$D$74)</f>
        <v>0</v>
      </c>
      <c r="M142" s="507">
        <f>IF(M140&lt;0,0,M140*波及効果シート!$D$74)</f>
        <v>0</v>
      </c>
      <c r="N142" s="507">
        <f>IF(N140&lt;0,0,N140*波及効果シート!$D$74)</f>
        <v>0</v>
      </c>
      <c r="O142" s="507">
        <f>IF(O140&lt;0,0,O140*波及効果シート!$D$74)</f>
        <v>0</v>
      </c>
      <c r="P142" s="507">
        <f>IF(P140&lt;0,0,P140*波及効果シート!$D$74)</f>
        <v>0</v>
      </c>
      <c r="Q142" s="507">
        <f>IF(Q140&lt;0,0,Q140*波及効果シート!$D$74)</f>
        <v>0</v>
      </c>
      <c r="R142" s="507">
        <f>IF(R140&lt;0,0,R140*波及効果シート!$D$74)</f>
        <v>0</v>
      </c>
      <c r="S142" s="507">
        <f>IF(S140&lt;0,0,S140*波及効果シート!$D$74)</f>
        <v>0</v>
      </c>
      <c r="T142" s="507">
        <f>IF(T140&lt;0,0,T140*波及効果シート!$D$74)</f>
        <v>0</v>
      </c>
      <c r="U142" s="507">
        <f>IF(U140&lt;0,0,U140*波及効果シート!$D$74)</f>
        <v>0</v>
      </c>
      <c r="V142" s="507">
        <f>IF(V140&lt;0,0,V140*波及効果シート!$D$74)</f>
        <v>0</v>
      </c>
      <c r="W142" s="507">
        <f>IF(W140&lt;0,0,W140*波及効果シート!$D$74)</f>
        <v>0</v>
      </c>
      <c r="X142" s="507">
        <f>IF(X140&lt;0,0,X140*波及効果シート!$D$74)</f>
        <v>0</v>
      </c>
      <c r="Y142" s="507">
        <f>IF(Y140&lt;0,0,Y140*波及効果シート!$D$74)</f>
        <v>0</v>
      </c>
      <c r="Z142" s="507">
        <f>IF(Z140&lt;0,0,Z140*波及効果シート!$D$74)</f>
        <v>0</v>
      </c>
      <c r="AA142" s="507">
        <f>IF(AA140&lt;0,0,AA140*波及効果シート!$D$74)</f>
        <v>0</v>
      </c>
      <c r="AB142" s="507">
        <f>IF(AB140&lt;0,0,AB140*波及効果シート!$D$74)</f>
        <v>0</v>
      </c>
      <c r="AC142" s="507">
        <f>IF(AC140&lt;0,0,AC140*波及効果シート!$D$74)</f>
        <v>0</v>
      </c>
      <c r="AD142" s="507">
        <f>IF(AD140&lt;0,0,AD140*波及効果シート!$D$74)</f>
        <v>0</v>
      </c>
      <c r="AE142" s="507">
        <f>IF(AE140&lt;0,0,AE140*波及効果シート!$D$74)</f>
        <v>0</v>
      </c>
      <c r="AF142" s="507">
        <f>IF(AF140&lt;0,0,AF140*波及効果シート!$D$74)</f>
        <v>0</v>
      </c>
      <c r="AG142" s="507">
        <f>IF(AG140&lt;0,0,AG140*波及効果シート!$D$74)</f>
        <v>0</v>
      </c>
      <c r="AH142" s="507">
        <f>IF(AH140&lt;0,0,AH140*波及効果シート!$D$74)</f>
        <v>0</v>
      </c>
      <c r="AI142" s="548">
        <f t="shared" si="52"/>
        <v>0</v>
      </c>
      <c r="AJ142" s="548">
        <f t="shared" si="53"/>
        <v>0</v>
      </c>
      <c r="AK142" s="510">
        <f t="shared" si="54"/>
        <v>0</v>
      </c>
    </row>
    <row r="143" spans="1:37" ht="11.5" x14ac:dyDescent="0.25">
      <c r="A143" s="546" t="str">
        <f>A139&amp;B143</f>
        <v>はん用機械器具製造業所得税（国税）</v>
      </c>
      <c r="B143" s="452" t="s">
        <v>356</v>
      </c>
      <c r="C143" s="465" t="s">
        <v>37</v>
      </c>
      <c r="D143" s="507">
        <f>D140*地域経済性分析・初期条件!$P$37</f>
        <v>0</v>
      </c>
      <c r="E143" s="507">
        <f>IF(E140&lt;0,0,E140*地域経済性分析・初期条件!$P$37)</f>
        <v>0</v>
      </c>
      <c r="F143" s="507">
        <f>IF(F140&lt;0,0,F140*地域経済性分析・初期条件!$P$37)</f>
        <v>0</v>
      </c>
      <c r="G143" s="507">
        <f>IF(G140&lt;0,0,G140*地域経済性分析・初期条件!$P$37)</f>
        <v>0</v>
      </c>
      <c r="H143" s="507">
        <f>IF(H140&lt;0,0,H140*地域経済性分析・初期条件!$P$37)</f>
        <v>0</v>
      </c>
      <c r="I143" s="507">
        <f>IF(I140&lt;0,0,I140*地域経済性分析・初期条件!$P$37)</f>
        <v>0</v>
      </c>
      <c r="J143" s="507">
        <f>IF(J140&lt;0,0,J140*地域経済性分析・初期条件!$P$37)</f>
        <v>0</v>
      </c>
      <c r="K143" s="507">
        <f>IF(K140&lt;0,0,K140*地域経済性分析・初期条件!$P$37)</f>
        <v>0</v>
      </c>
      <c r="L143" s="507">
        <f>IF(L140&lt;0,0,L140*地域経済性分析・初期条件!$P$37)</f>
        <v>0</v>
      </c>
      <c r="M143" s="507">
        <f>IF(M140&lt;0,0,M140*地域経済性分析・初期条件!$P$37)</f>
        <v>0</v>
      </c>
      <c r="N143" s="507">
        <f>IF(N140&lt;0,0,N140*地域経済性分析・初期条件!$P$37)</f>
        <v>0</v>
      </c>
      <c r="O143" s="507">
        <f>IF(O140&lt;0,0,O140*地域経済性分析・初期条件!$P$37)</f>
        <v>0</v>
      </c>
      <c r="P143" s="507">
        <f>IF(P140&lt;0,0,P140*地域経済性分析・初期条件!$P$37)</f>
        <v>0</v>
      </c>
      <c r="Q143" s="507">
        <f>IF(Q140&lt;0,0,Q140*地域経済性分析・初期条件!$P$37)</f>
        <v>0</v>
      </c>
      <c r="R143" s="507">
        <f>IF(R140&lt;0,0,R140*地域経済性分析・初期条件!$P$37)</f>
        <v>0</v>
      </c>
      <c r="S143" s="507">
        <f>IF(S140&lt;0,0,S140*地域経済性分析・初期条件!$P$37)</f>
        <v>0</v>
      </c>
      <c r="T143" s="507">
        <f>IF(T140&lt;0,0,T140*地域経済性分析・初期条件!$P$37)</f>
        <v>0</v>
      </c>
      <c r="U143" s="507">
        <f>IF(U140&lt;0,0,U140*地域経済性分析・初期条件!$P$37)</f>
        <v>0</v>
      </c>
      <c r="V143" s="507">
        <f>IF(V140&lt;0,0,V140*地域経済性分析・初期条件!$P$37)</f>
        <v>0</v>
      </c>
      <c r="W143" s="507">
        <f>IF(W140&lt;0,0,W140*地域経済性分析・初期条件!$P$37)</f>
        <v>0</v>
      </c>
      <c r="X143" s="507">
        <f>IF(X140&lt;0,0,X140*地域経済性分析・初期条件!$P$37)</f>
        <v>0</v>
      </c>
      <c r="Y143" s="507">
        <f>IF(Y140&lt;0,0,Y140*地域経済性分析・初期条件!$P$37)</f>
        <v>0</v>
      </c>
      <c r="Z143" s="507">
        <f>IF(Z140&lt;0,0,Z140*地域経済性分析・初期条件!$P$37)</f>
        <v>0</v>
      </c>
      <c r="AA143" s="507">
        <f>IF(AA140&lt;0,0,AA140*地域経済性分析・初期条件!$P$37)</f>
        <v>0</v>
      </c>
      <c r="AB143" s="507">
        <f>IF(AB140&lt;0,0,AB140*地域経済性分析・初期条件!$P$37)</f>
        <v>0</v>
      </c>
      <c r="AC143" s="507">
        <f>IF(AC140&lt;0,0,AC140*地域経済性分析・初期条件!$P$37)</f>
        <v>0</v>
      </c>
      <c r="AD143" s="507">
        <f>IF(AD140&lt;0,0,AD140*地域経済性分析・初期条件!$P$37)</f>
        <v>0</v>
      </c>
      <c r="AE143" s="507">
        <f>IF(AE140&lt;0,0,AE140*地域経済性分析・初期条件!$P$37)</f>
        <v>0</v>
      </c>
      <c r="AF143" s="507">
        <f>IF(AF140&lt;0,0,AF140*地域経済性分析・初期条件!$P$37)</f>
        <v>0</v>
      </c>
      <c r="AG143" s="507">
        <f>IF(AG140&lt;0,0,AG140*地域経済性分析・初期条件!$P$37)</f>
        <v>0</v>
      </c>
      <c r="AH143" s="507">
        <f>IF(AH140&lt;0,0,AH140*地域経済性分析・初期条件!$P$37)</f>
        <v>0</v>
      </c>
      <c r="AI143" s="548">
        <f t="shared" si="52"/>
        <v>0</v>
      </c>
      <c r="AJ143" s="548">
        <f t="shared" si="53"/>
        <v>0</v>
      </c>
      <c r="AK143" s="510">
        <f t="shared" si="54"/>
        <v>0</v>
      </c>
    </row>
    <row r="144" spans="1:37" ht="11.5" x14ac:dyDescent="0.25">
      <c r="A144" s="546" t="str">
        <f>A139&amp;B144</f>
        <v>はん用機械器具製造業法人税（国税）</v>
      </c>
      <c r="B144" s="452" t="s">
        <v>355</v>
      </c>
      <c r="C144" s="465" t="s">
        <v>37</v>
      </c>
      <c r="D144" s="507">
        <f>D140*地域経済性分析・初期条件!$Q$37</f>
        <v>0</v>
      </c>
      <c r="E144" s="507">
        <f>IF(E140&lt;0,0,E140*地域経済性分析・初期条件!$Q$37)</f>
        <v>0</v>
      </c>
      <c r="F144" s="507">
        <f>IF(F140&lt;0,0,F140*地域経済性分析・初期条件!$Q$37)</f>
        <v>0</v>
      </c>
      <c r="G144" s="507">
        <f>IF(G140&lt;0,0,G140*地域経済性分析・初期条件!$Q$37)</f>
        <v>0</v>
      </c>
      <c r="H144" s="507">
        <f>IF(H140&lt;0,0,H140*地域経済性分析・初期条件!$Q$37)</f>
        <v>0</v>
      </c>
      <c r="I144" s="507">
        <f>IF(I140&lt;0,0,I140*地域経済性分析・初期条件!$Q$37)</f>
        <v>0</v>
      </c>
      <c r="J144" s="507">
        <f>IF(J140&lt;0,0,J140*地域経済性分析・初期条件!$Q$37)</f>
        <v>0</v>
      </c>
      <c r="K144" s="507">
        <f>IF(K140&lt;0,0,K140*地域経済性分析・初期条件!$Q$37)</f>
        <v>0</v>
      </c>
      <c r="L144" s="507">
        <f>IF(L140&lt;0,0,L140*地域経済性分析・初期条件!$Q$37)</f>
        <v>0</v>
      </c>
      <c r="M144" s="507">
        <f>IF(M140&lt;0,0,M140*地域経済性分析・初期条件!$Q$37)</f>
        <v>0</v>
      </c>
      <c r="N144" s="507">
        <f>IF(N140&lt;0,0,N140*地域経済性分析・初期条件!$Q$37)</f>
        <v>0</v>
      </c>
      <c r="O144" s="507">
        <f>IF(O140&lt;0,0,O140*地域経済性分析・初期条件!$Q$37)</f>
        <v>0</v>
      </c>
      <c r="P144" s="507">
        <f>IF(P140&lt;0,0,P140*地域経済性分析・初期条件!$Q$37)</f>
        <v>0</v>
      </c>
      <c r="Q144" s="507">
        <f>IF(Q140&lt;0,0,Q140*地域経済性分析・初期条件!$Q$37)</f>
        <v>0</v>
      </c>
      <c r="R144" s="507">
        <f>IF(R140&lt;0,0,R140*地域経済性分析・初期条件!$Q$37)</f>
        <v>0</v>
      </c>
      <c r="S144" s="507">
        <f>IF(S140&lt;0,0,S140*地域経済性分析・初期条件!$Q$37)</f>
        <v>0</v>
      </c>
      <c r="T144" s="507">
        <f>IF(T140&lt;0,0,T140*地域経済性分析・初期条件!$Q$37)</f>
        <v>0</v>
      </c>
      <c r="U144" s="507">
        <f>IF(U140&lt;0,0,U140*地域経済性分析・初期条件!$Q$37)</f>
        <v>0</v>
      </c>
      <c r="V144" s="507">
        <f>IF(V140&lt;0,0,V140*地域経済性分析・初期条件!$Q$37)</f>
        <v>0</v>
      </c>
      <c r="W144" s="507">
        <f>IF(W140&lt;0,0,W140*地域経済性分析・初期条件!$Q$37)</f>
        <v>0</v>
      </c>
      <c r="X144" s="507">
        <f>IF(X140&lt;0,0,X140*地域経済性分析・初期条件!$Q$37)</f>
        <v>0</v>
      </c>
      <c r="Y144" s="507">
        <f>IF(Y140&lt;0,0,Y140*地域経済性分析・初期条件!$Q$37)</f>
        <v>0</v>
      </c>
      <c r="Z144" s="507">
        <f>IF(Z140&lt;0,0,Z140*地域経済性分析・初期条件!$Q$37)</f>
        <v>0</v>
      </c>
      <c r="AA144" s="507">
        <f>IF(AA140&lt;0,0,AA140*地域経済性分析・初期条件!$Q$37)</f>
        <v>0</v>
      </c>
      <c r="AB144" s="507">
        <f>IF(AB140&lt;0,0,AB140*地域経済性分析・初期条件!$Q$37)</f>
        <v>0</v>
      </c>
      <c r="AC144" s="507">
        <f>IF(AC140&lt;0,0,AC140*地域経済性分析・初期条件!$Q$37)</f>
        <v>0</v>
      </c>
      <c r="AD144" s="507">
        <f>IF(AD140&lt;0,0,AD140*地域経済性分析・初期条件!$Q$37)</f>
        <v>0</v>
      </c>
      <c r="AE144" s="507">
        <f>IF(AE140&lt;0,0,AE140*地域経済性分析・初期条件!$Q$37)</f>
        <v>0</v>
      </c>
      <c r="AF144" s="507">
        <f>IF(AF140&lt;0,0,AF140*地域経済性分析・初期条件!$Q$37)</f>
        <v>0</v>
      </c>
      <c r="AG144" s="507">
        <f>IF(AG140&lt;0,0,AG140*地域経済性分析・初期条件!$Q$37)</f>
        <v>0</v>
      </c>
      <c r="AH144" s="507">
        <f>IF(AH140&lt;0,0,AH140*地域経済性分析・初期条件!$Q$37)</f>
        <v>0</v>
      </c>
      <c r="AI144" s="548">
        <f t="shared" si="52"/>
        <v>0</v>
      </c>
      <c r="AJ144" s="548">
        <f t="shared" si="53"/>
        <v>0</v>
      </c>
      <c r="AK144" s="510">
        <f t="shared" si="54"/>
        <v>0</v>
      </c>
    </row>
    <row r="145" spans="1:37" ht="11.5" x14ac:dyDescent="0.25">
      <c r="A145" s="546" t="str">
        <f>A139&amp;B145</f>
        <v>はん用機械器具製造業従業員の可処分所得（一次）</v>
      </c>
      <c r="B145" s="452" t="s">
        <v>339</v>
      </c>
      <c r="C145" s="464" t="s">
        <v>37</v>
      </c>
      <c r="D145" s="507">
        <f>D140*地域経済性分析・初期条件!$H$37</f>
        <v>0</v>
      </c>
      <c r="E145" s="507">
        <f>IF(E140&lt;0,0,E140*地域経済性分析・初期条件!$H$37)</f>
        <v>0</v>
      </c>
      <c r="F145" s="507">
        <f>IF(F140&lt;0,0,F140*地域経済性分析・初期条件!$H$37)</f>
        <v>0</v>
      </c>
      <c r="G145" s="507">
        <f>IF(G140&lt;0,0,G140*地域経済性分析・初期条件!$H$37)</f>
        <v>0</v>
      </c>
      <c r="H145" s="507">
        <f>IF(H140&lt;0,0,H140*地域経済性分析・初期条件!$H$37)</f>
        <v>0</v>
      </c>
      <c r="I145" s="507">
        <f>IF(I140&lt;0,0,I140*地域経済性分析・初期条件!$H$37)</f>
        <v>0</v>
      </c>
      <c r="J145" s="507">
        <f>IF(J140&lt;0,0,J140*地域経済性分析・初期条件!$H$37)</f>
        <v>0</v>
      </c>
      <c r="K145" s="507">
        <f>IF(K140&lt;0,0,K140*地域経済性分析・初期条件!$H$37)</f>
        <v>0</v>
      </c>
      <c r="L145" s="507">
        <f>IF(L140&lt;0,0,L140*地域経済性分析・初期条件!$H$37)</f>
        <v>0</v>
      </c>
      <c r="M145" s="507">
        <f>IF(M140&lt;0,0,M140*地域経済性分析・初期条件!$H$37)</f>
        <v>0</v>
      </c>
      <c r="N145" s="507">
        <f>IF(N140&lt;0,0,N140*地域経済性分析・初期条件!$H$37)</f>
        <v>0</v>
      </c>
      <c r="O145" s="507">
        <f>IF(O140&lt;0,0,O140*地域経済性分析・初期条件!$H$37)</f>
        <v>0</v>
      </c>
      <c r="P145" s="507">
        <f>IF(P140&lt;0,0,P140*地域経済性分析・初期条件!$H$37)</f>
        <v>0</v>
      </c>
      <c r="Q145" s="507">
        <f>IF(Q140&lt;0,0,Q140*地域経済性分析・初期条件!$H$37)</f>
        <v>0</v>
      </c>
      <c r="R145" s="507">
        <f>IF(R140&lt;0,0,R140*地域経済性分析・初期条件!$H$37)</f>
        <v>0</v>
      </c>
      <c r="S145" s="507">
        <f>IF(S140&lt;0,0,S140*地域経済性分析・初期条件!$H$37)</f>
        <v>0</v>
      </c>
      <c r="T145" s="507">
        <f>IF(T140&lt;0,0,T140*地域経済性分析・初期条件!$H$37)</f>
        <v>0</v>
      </c>
      <c r="U145" s="507">
        <f>IF(U140&lt;0,0,U140*地域経済性分析・初期条件!$H$37)</f>
        <v>0</v>
      </c>
      <c r="V145" s="507">
        <f>IF(V140&lt;0,0,V140*地域経済性分析・初期条件!$H$37)</f>
        <v>0</v>
      </c>
      <c r="W145" s="507">
        <f>IF(W140&lt;0,0,W140*地域経済性分析・初期条件!$H$37)</f>
        <v>0</v>
      </c>
      <c r="X145" s="507">
        <f>IF(X140&lt;0,0,X140*地域経済性分析・初期条件!$H$37)</f>
        <v>0</v>
      </c>
      <c r="Y145" s="507">
        <f>IF(Y140&lt;0,0,Y140*地域経済性分析・初期条件!$H$37)</f>
        <v>0</v>
      </c>
      <c r="Z145" s="507">
        <f>IF(Z140&lt;0,0,Z140*地域経済性分析・初期条件!$H$37)</f>
        <v>0</v>
      </c>
      <c r="AA145" s="507">
        <f>IF(AA140&lt;0,0,AA140*地域経済性分析・初期条件!$H$37)</f>
        <v>0</v>
      </c>
      <c r="AB145" s="507">
        <f>IF(AB140&lt;0,0,AB140*地域経済性分析・初期条件!$H$37)</f>
        <v>0</v>
      </c>
      <c r="AC145" s="507">
        <f>IF(AC140&lt;0,0,AC140*地域経済性分析・初期条件!$H$37)</f>
        <v>0</v>
      </c>
      <c r="AD145" s="507">
        <f>IF(AD140&lt;0,0,AD140*地域経済性分析・初期条件!$H$37)</f>
        <v>0</v>
      </c>
      <c r="AE145" s="507">
        <f>IF(AE140&lt;0,0,AE140*地域経済性分析・初期条件!$H$37)</f>
        <v>0</v>
      </c>
      <c r="AF145" s="507">
        <f>IF(AF140&lt;0,0,AF140*地域経済性分析・初期条件!$H$37)</f>
        <v>0</v>
      </c>
      <c r="AG145" s="507">
        <f>IF(AG140&lt;0,0,AG140*地域経済性分析・初期条件!$H$37)</f>
        <v>0</v>
      </c>
      <c r="AH145" s="507">
        <f>IF(AH140&lt;0,0,AH140*地域経済性分析・初期条件!$H$37)</f>
        <v>0</v>
      </c>
      <c r="AI145" s="548">
        <f t="shared" si="52"/>
        <v>0</v>
      </c>
      <c r="AJ145" s="548">
        <f t="shared" si="53"/>
        <v>0</v>
      </c>
      <c r="AK145" s="510">
        <f t="shared" si="54"/>
        <v>0</v>
      </c>
    </row>
    <row r="146" spans="1:37" ht="11.5" x14ac:dyDescent="0.25">
      <c r="A146" s="546" t="str">
        <f>A139&amp;B146</f>
        <v>はん用機械器具製造業企業の税引後利益（一次）</v>
      </c>
      <c r="B146" s="452" t="s">
        <v>340</v>
      </c>
      <c r="C146" s="464" t="s">
        <v>37</v>
      </c>
      <c r="D146" s="507">
        <f>D140*地域経済性分析・初期条件!$I$37</f>
        <v>0</v>
      </c>
      <c r="E146" s="507">
        <f>IF(E140&lt;0,0,E140*地域経済性分析・初期条件!$I$37)</f>
        <v>0</v>
      </c>
      <c r="F146" s="507">
        <f>IF(F140&lt;0,0,F140*地域経済性分析・初期条件!$I$37)</f>
        <v>0</v>
      </c>
      <c r="G146" s="507">
        <f>IF(G140&lt;0,0,G140*地域経済性分析・初期条件!$I$37)</f>
        <v>0</v>
      </c>
      <c r="H146" s="507">
        <f>IF(H140&lt;0,0,H140*地域経済性分析・初期条件!$I$37)</f>
        <v>0</v>
      </c>
      <c r="I146" s="507">
        <f>IF(I140&lt;0,0,I140*地域経済性分析・初期条件!$I$37)</f>
        <v>0</v>
      </c>
      <c r="J146" s="507">
        <f>IF(J140&lt;0,0,J140*地域経済性分析・初期条件!$I$37)</f>
        <v>0</v>
      </c>
      <c r="K146" s="507">
        <f>IF(K140&lt;0,0,K140*地域経済性分析・初期条件!$I$37)</f>
        <v>0</v>
      </c>
      <c r="L146" s="507">
        <f>IF(L140&lt;0,0,L140*地域経済性分析・初期条件!$I$37)</f>
        <v>0</v>
      </c>
      <c r="M146" s="507">
        <f>IF(M140&lt;0,0,M140*地域経済性分析・初期条件!$I$37)</f>
        <v>0</v>
      </c>
      <c r="N146" s="507">
        <f>IF(N140&lt;0,0,N140*地域経済性分析・初期条件!$I$37)</f>
        <v>0</v>
      </c>
      <c r="O146" s="507">
        <f>IF(O140&lt;0,0,O140*地域経済性分析・初期条件!$I$37)</f>
        <v>0</v>
      </c>
      <c r="P146" s="507">
        <f>IF(P140&lt;0,0,P140*地域経済性分析・初期条件!$I$37)</f>
        <v>0</v>
      </c>
      <c r="Q146" s="507">
        <f>IF(Q140&lt;0,0,Q140*地域経済性分析・初期条件!$I$37)</f>
        <v>0</v>
      </c>
      <c r="R146" s="507">
        <f>IF(R140&lt;0,0,R140*地域経済性分析・初期条件!$I$37)</f>
        <v>0</v>
      </c>
      <c r="S146" s="507">
        <f>IF(S140&lt;0,0,S140*地域経済性分析・初期条件!$I$37)</f>
        <v>0</v>
      </c>
      <c r="T146" s="507">
        <f>IF(T140&lt;0,0,T140*地域経済性分析・初期条件!$I$37)</f>
        <v>0</v>
      </c>
      <c r="U146" s="507">
        <f>IF(U140&lt;0,0,U140*地域経済性分析・初期条件!$I$37)</f>
        <v>0</v>
      </c>
      <c r="V146" s="507">
        <f>IF(V140&lt;0,0,V140*地域経済性分析・初期条件!$I$37)</f>
        <v>0</v>
      </c>
      <c r="W146" s="507">
        <f>IF(W140&lt;0,0,W140*地域経済性分析・初期条件!$I$37)</f>
        <v>0</v>
      </c>
      <c r="X146" s="507">
        <f>IF(X140&lt;0,0,X140*地域経済性分析・初期条件!$I$37)</f>
        <v>0</v>
      </c>
      <c r="Y146" s="507">
        <f>IF(Y140&lt;0,0,Y140*地域経済性分析・初期条件!$I$37)</f>
        <v>0</v>
      </c>
      <c r="Z146" s="507">
        <f>IF(Z140&lt;0,0,Z140*地域経済性分析・初期条件!$I$37)</f>
        <v>0</v>
      </c>
      <c r="AA146" s="507">
        <f>IF(AA140&lt;0,0,AA140*地域経済性分析・初期条件!$I$37)</f>
        <v>0</v>
      </c>
      <c r="AB146" s="507">
        <f>IF(AB140&lt;0,0,AB140*地域経済性分析・初期条件!$I$37)</f>
        <v>0</v>
      </c>
      <c r="AC146" s="507">
        <f>IF(AC140&lt;0,0,AC140*地域経済性分析・初期条件!$I$37)</f>
        <v>0</v>
      </c>
      <c r="AD146" s="507">
        <f>IF(AD140&lt;0,0,AD140*地域経済性分析・初期条件!$I$37)</f>
        <v>0</v>
      </c>
      <c r="AE146" s="507">
        <f>IF(AE140&lt;0,0,AE140*地域経済性分析・初期条件!$I$37)</f>
        <v>0</v>
      </c>
      <c r="AF146" s="507">
        <f>IF(AF140&lt;0,0,AF140*地域経済性分析・初期条件!$I$37)</f>
        <v>0</v>
      </c>
      <c r="AG146" s="507">
        <f>IF(AG140&lt;0,0,AG140*地域経済性分析・初期条件!$I$37)</f>
        <v>0</v>
      </c>
      <c r="AH146" s="507">
        <f>IF(AH140&lt;0,0,AH140*地域経済性分析・初期条件!$I$37)</f>
        <v>0</v>
      </c>
      <c r="AI146" s="548">
        <f t="shared" si="52"/>
        <v>0</v>
      </c>
      <c r="AJ146" s="548">
        <f t="shared" si="53"/>
        <v>0</v>
      </c>
      <c r="AK146" s="510">
        <f t="shared" si="54"/>
        <v>0</v>
      </c>
    </row>
    <row r="147" spans="1:37" ht="11.5" x14ac:dyDescent="0.25">
      <c r="A147" s="546" t="str">
        <f>A139&amp;B147</f>
        <v>はん用機械器具製造業都道府県税収（一次）</v>
      </c>
      <c r="B147" s="452" t="s">
        <v>341</v>
      </c>
      <c r="C147" s="464" t="s">
        <v>37</v>
      </c>
      <c r="D147" s="507">
        <f>D140*地域経済性分析・初期条件!$J$37</f>
        <v>0</v>
      </c>
      <c r="E147" s="507">
        <f>IF(E140&lt;0,0,E140*地域経済性分析・初期条件!$J$37)</f>
        <v>0</v>
      </c>
      <c r="F147" s="507">
        <f>IF(F140&lt;0,0,F140*地域経済性分析・初期条件!$J$37)</f>
        <v>0</v>
      </c>
      <c r="G147" s="507">
        <f>IF(G140&lt;0,0,G140*地域経済性分析・初期条件!$J$37)</f>
        <v>0</v>
      </c>
      <c r="H147" s="507">
        <f>IF(H140&lt;0,0,H140*地域経済性分析・初期条件!$J$37)</f>
        <v>0</v>
      </c>
      <c r="I147" s="507">
        <f>IF(I140&lt;0,0,I140*地域経済性分析・初期条件!$J$37)</f>
        <v>0</v>
      </c>
      <c r="J147" s="507">
        <f>IF(J140&lt;0,0,J140*地域経済性分析・初期条件!$J$37)</f>
        <v>0</v>
      </c>
      <c r="K147" s="507">
        <f>IF(K140&lt;0,0,K140*地域経済性分析・初期条件!$J$37)</f>
        <v>0</v>
      </c>
      <c r="L147" s="507">
        <f>IF(L140&lt;0,0,L140*地域経済性分析・初期条件!$J$37)</f>
        <v>0</v>
      </c>
      <c r="M147" s="507">
        <f>IF(M140&lt;0,0,M140*地域経済性分析・初期条件!$J$37)</f>
        <v>0</v>
      </c>
      <c r="N147" s="507">
        <f>IF(N140&lt;0,0,N140*地域経済性分析・初期条件!$J$37)</f>
        <v>0</v>
      </c>
      <c r="O147" s="507">
        <f>IF(O140&lt;0,0,O140*地域経済性分析・初期条件!$J$37)</f>
        <v>0</v>
      </c>
      <c r="P147" s="507">
        <f>IF(P140&lt;0,0,P140*地域経済性分析・初期条件!$J$37)</f>
        <v>0</v>
      </c>
      <c r="Q147" s="507">
        <f>IF(Q140&lt;0,0,Q140*地域経済性分析・初期条件!$J$37)</f>
        <v>0</v>
      </c>
      <c r="R147" s="507">
        <f>IF(R140&lt;0,0,R140*地域経済性分析・初期条件!$J$37)</f>
        <v>0</v>
      </c>
      <c r="S147" s="507">
        <f>IF(S140&lt;0,0,S140*地域経済性分析・初期条件!$J$37)</f>
        <v>0</v>
      </c>
      <c r="T147" s="507">
        <f>IF(T140&lt;0,0,T140*地域経済性分析・初期条件!$J$37)</f>
        <v>0</v>
      </c>
      <c r="U147" s="507">
        <f>IF(U140&lt;0,0,U140*地域経済性分析・初期条件!$J$37)</f>
        <v>0</v>
      </c>
      <c r="V147" s="507">
        <f>IF(V140&lt;0,0,V140*地域経済性分析・初期条件!$J$37)</f>
        <v>0</v>
      </c>
      <c r="W147" s="507">
        <f>IF(W140&lt;0,0,W140*地域経済性分析・初期条件!$J$37)</f>
        <v>0</v>
      </c>
      <c r="X147" s="507">
        <f>IF(X140&lt;0,0,X140*地域経済性分析・初期条件!$J$37)</f>
        <v>0</v>
      </c>
      <c r="Y147" s="507">
        <f>IF(Y140&lt;0,0,Y140*地域経済性分析・初期条件!$J$37)</f>
        <v>0</v>
      </c>
      <c r="Z147" s="507">
        <f>IF(Z140&lt;0,0,Z140*地域経済性分析・初期条件!$J$37)</f>
        <v>0</v>
      </c>
      <c r="AA147" s="507">
        <f>IF(AA140&lt;0,0,AA140*地域経済性分析・初期条件!$J$37)</f>
        <v>0</v>
      </c>
      <c r="AB147" s="507">
        <f>IF(AB140&lt;0,0,AB140*地域経済性分析・初期条件!$J$37)</f>
        <v>0</v>
      </c>
      <c r="AC147" s="507">
        <f>IF(AC140&lt;0,0,AC140*地域経済性分析・初期条件!$J$37)</f>
        <v>0</v>
      </c>
      <c r="AD147" s="507">
        <f>IF(AD140&lt;0,0,AD140*地域経済性分析・初期条件!$J$37)</f>
        <v>0</v>
      </c>
      <c r="AE147" s="507">
        <f>IF(AE140&lt;0,0,AE140*地域経済性分析・初期条件!$J$37)</f>
        <v>0</v>
      </c>
      <c r="AF147" s="507">
        <f>IF(AF140&lt;0,0,AF140*地域経済性分析・初期条件!$J$37)</f>
        <v>0</v>
      </c>
      <c r="AG147" s="507">
        <f>IF(AG140&lt;0,0,AG140*地域経済性分析・初期条件!$J$37)</f>
        <v>0</v>
      </c>
      <c r="AH147" s="507">
        <f>IF(AH140&lt;0,0,AH140*地域経済性分析・初期条件!$J$37)</f>
        <v>0</v>
      </c>
      <c r="AI147" s="548">
        <f t="shared" si="52"/>
        <v>0</v>
      </c>
      <c r="AJ147" s="548">
        <f t="shared" si="53"/>
        <v>0</v>
      </c>
      <c r="AK147" s="510">
        <f t="shared" si="54"/>
        <v>0</v>
      </c>
    </row>
    <row r="148" spans="1:37" ht="11.5" x14ac:dyDescent="0.25">
      <c r="A148" s="546" t="str">
        <f>A139&amp;B148</f>
        <v>はん用機械器具製造業市町村税収（一次）</v>
      </c>
      <c r="B148" s="452" t="s">
        <v>342</v>
      </c>
      <c r="C148" s="465" t="s">
        <v>37</v>
      </c>
      <c r="D148" s="507">
        <f>D140*地域経済性分析・初期条件!$K$37</f>
        <v>0</v>
      </c>
      <c r="E148" s="507">
        <f>IF(E140&lt;0,0,E140*地域経済性分析・初期条件!$K$37)</f>
        <v>0</v>
      </c>
      <c r="F148" s="507">
        <f>IF(F140&lt;0,0,F140*地域経済性分析・初期条件!$K$37)</f>
        <v>0</v>
      </c>
      <c r="G148" s="507">
        <f>IF(G140&lt;0,0,G140*地域経済性分析・初期条件!$K$37)</f>
        <v>0</v>
      </c>
      <c r="H148" s="507">
        <f>IF(H140&lt;0,0,H140*地域経済性分析・初期条件!$K$37)</f>
        <v>0</v>
      </c>
      <c r="I148" s="507">
        <f>IF(I140&lt;0,0,I140*地域経済性分析・初期条件!$K$37)</f>
        <v>0</v>
      </c>
      <c r="J148" s="507">
        <f>IF(J140&lt;0,0,J140*地域経済性分析・初期条件!$K$37)</f>
        <v>0</v>
      </c>
      <c r="K148" s="507">
        <f>IF(K140&lt;0,0,K140*地域経済性分析・初期条件!$K$37)</f>
        <v>0</v>
      </c>
      <c r="L148" s="507">
        <f>IF(L140&lt;0,0,L140*地域経済性分析・初期条件!$K$37)</f>
        <v>0</v>
      </c>
      <c r="M148" s="507">
        <f>IF(M140&lt;0,0,M140*地域経済性分析・初期条件!$K$37)</f>
        <v>0</v>
      </c>
      <c r="N148" s="507">
        <f>IF(N140&lt;0,0,N140*地域経済性分析・初期条件!$K$37)</f>
        <v>0</v>
      </c>
      <c r="O148" s="507">
        <f>IF(O140&lt;0,0,O140*地域経済性分析・初期条件!$K$37)</f>
        <v>0</v>
      </c>
      <c r="P148" s="507">
        <f>IF(P140&lt;0,0,P140*地域経済性分析・初期条件!$K$37)</f>
        <v>0</v>
      </c>
      <c r="Q148" s="507">
        <f>IF(Q140&lt;0,0,Q140*地域経済性分析・初期条件!$K$37)</f>
        <v>0</v>
      </c>
      <c r="R148" s="507">
        <f>IF(R140&lt;0,0,R140*地域経済性分析・初期条件!$K$37)</f>
        <v>0</v>
      </c>
      <c r="S148" s="507">
        <f>IF(S140&lt;0,0,S140*地域経済性分析・初期条件!$K$37)</f>
        <v>0</v>
      </c>
      <c r="T148" s="507">
        <f>IF(T140&lt;0,0,T140*地域経済性分析・初期条件!$K$37)</f>
        <v>0</v>
      </c>
      <c r="U148" s="507">
        <f>IF(U140&lt;0,0,U140*地域経済性分析・初期条件!$K$37)</f>
        <v>0</v>
      </c>
      <c r="V148" s="507">
        <f>IF(V140&lt;0,0,V140*地域経済性分析・初期条件!$K$37)</f>
        <v>0</v>
      </c>
      <c r="W148" s="507">
        <f>IF(W140&lt;0,0,W140*地域経済性分析・初期条件!$K$37)</f>
        <v>0</v>
      </c>
      <c r="X148" s="507">
        <f>IF(X140&lt;0,0,X140*地域経済性分析・初期条件!$K$37)</f>
        <v>0</v>
      </c>
      <c r="Y148" s="507">
        <f>IF(Y140&lt;0,0,Y140*地域経済性分析・初期条件!$K$37)</f>
        <v>0</v>
      </c>
      <c r="Z148" s="507">
        <f>IF(Z140&lt;0,0,Z140*地域経済性分析・初期条件!$K$37)</f>
        <v>0</v>
      </c>
      <c r="AA148" s="507">
        <f>IF(AA140&lt;0,0,AA140*地域経済性分析・初期条件!$K$37)</f>
        <v>0</v>
      </c>
      <c r="AB148" s="507">
        <f>IF(AB140&lt;0,0,AB140*地域経済性分析・初期条件!$K$37)</f>
        <v>0</v>
      </c>
      <c r="AC148" s="507">
        <f>IF(AC140&lt;0,0,AC140*地域経済性分析・初期条件!$K$37)</f>
        <v>0</v>
      </c>
      <c r="AD148" s="507">
        <f>IF(AD140&lt;0,0,AD140*地域経済性分析・初期条件!$K$37)</f>
        <v>0</v>
      </c>
      <c r="AE148" s="507">
        <f>IF(AE140&lt;0,0,AE140*地域経済性分析・初期条件!$K$37)</f>
        <v>0</v>
      </c>
      <c r="AF148" s="507">
        <f>IF(AF140&lt;0,0,AF140*地域経済性分析・初期条件!$K$37)</f>
        <v>0</v>
      </c>
      <c r="AG148" s="507">
        <f>IF(AG140&lt;0,0,AG140*地域経済性分析・初期条件!$K$37)</f>
        <v>0</v>
      </c>
      <c r="AH148" s="507">
        <f>IF(AH140&lt;0,0,AH140*地域経済性分析・初期条件!$K$37)</f>
        <v>0</v>
      </c>
      <c r="AI148" s="548">
        <f t="shared" si="52"/>
        <v>0</v>
      </c>
      <c r="AJ148" s="548">
        <f t="shared" si="53"/>
        <v>0</v>
      </c>
      <c r="AK148" s="510">
        <f t="shared" si="54"/>
        <v>0</v>
      </c>
    </row>
    <row r="149" spans="1:37" ht="11.5" x14ac:dyDescent="0.25">
      <c r="A149" s="546" t="str">
        <f>A139&amp;B149</f>
        <v>はん用機械器具製造業従業員の可処分所得（二次以降）</v>
      </c>
      <c r="B149" s="452" t="s">
        <v>344</v>
      </c>
      <c r="C149" s="465" t="s">
        <v>37</v>
      </c>
      <c r="D149" s="507">
        <f>D140*地域経済性分析・初期条件!$L$37</f>
        <v>0</v>
      </c>
      <c r="E149" s="507">
        <f>IF(E140&lt;0,0,E140*地域経済性分析・初期条件!$L$37)</f>
        <v>0</v>
      </c>
      <c r="F149" s="507">
        <f>IF(F140&lt;0,0,F140*地域経済性分析・初期条件!$L$37)</f>
        <v>0</v>
      </c>
      <c r="G149" s="507">
        <f>IF(G140&lt;0,0,G140*地域経済性分析・初期条件!$L$37)</f>
        <v>0</v>
      </c>
      <c r="H149" s="507">
        <f>IF(H140&lt;0,0,H140*地域経済性分析・初期条件!$L$37)</f>
        <v>0</v>
      </c>
      <c r="I149" s="507">
        <f>IF(I140&lt;0,0,I140*地域経済性分析・初期条件!$L$37)</f>
        <v>0</v>
      </c>
      <c r="J149" s="507">
        <f>IF(J140&lt;0,0,J140*地域経済性分析・初期条件!$L$37)</f>
        <v>0</v>
      </c>
      <c r="K149" s="507">
        <f>IF(K140&lt;0,0,K140*地域経済性分析・初期条件!$L$37)</f>
        <v>0</v>
      </c>
      <c r="L149" s="507">
        <f>IF(L140&lt;0,0,L140*地域経済性分析・初期条件!$L$37)</f>
        <v>0</v>
      </c>
      <c r="M149" s="507">
        <f>IF(M140&lt;0,0,M140*地域経済性分析・初期条件!$L$37)</f>
        <v>0</v>
      </c>
      <c r="N149" s="507">
        <f>IF(N140&lt;0,0,N140*地域経済性分析・初期条件!$L$37)</f>
        <v>0</v>
      </c>
      <c r="O149" s="507">
        <f>IF(O140&lt;0,0,O140*地域経済性分析・初期条件!$L$37)</f>
        <v>0</v>
      </c>
      <c r="P149" s="507">
        <f>IF(P140&lt;0,0,P140*地域経済性分析・初期条件!$L$37)</f>
        <v>0</v>
      </c>
      <c r="Q149" s="507">
        <f>IF(Q140&lt;0,0,Q140*地域経済性分析・初期条件!$L$37)</f>
        <v>0</v>
      </c>
      <c r="R149" s="507">
        <f>IF(R140&lt;0,0,R140*地域経済性分析・初期条件!$L$37)</f>
        <v>0</v>
      </c>
      <c r="S149" s="507">
        <f>IF(S140&lt;0,0,S140*地域経済性分析・初期条件!$L$37)</f>
        <v>0</v>
      </c>
      <c r="T149" s="507">
        <f>IF(T140&lt;0,0,T140*地域経済性分析・初期条件!$L$37)</f>
        <v>0</v>
      </c>
      <c r="U149" s="507">
        <f>IF(U140&lt;0,0,U140*地域経済性分析・初期条件!$L$37)</f>
        <v>0</v>
      </c>
      <c r="V149" s="507">
        <f>IF(V140&lt;0,0,V140*地域経済性分析・初期条件!$L$37)</f>
        <v>0</v>
      </c>
      <c r="W149" s="507">
        <f>IF(W140&lt;0,0,W140*地域経済性分析・初期条件!$L$37)</f>
        <v>0</v>
      </c>
      <c r="X149" s="507">
        <f>IF(X140&lt;0,0,X140*地域経済性分析・初期条件!$L$37)</f>
        <v>0</v>
      </c>
      <c r="Y149" s="507">
        <f>IF(Y140&lt;0,0,Y140*地域経済性分析・初期条件!$L$37)</f>
        <v>0</v>
      </c>
      <c r="Z149" s="507">
        <f>IF(Z140&lt;0,0,Z140*地域経済性分析・初期条件!$L$37)</f>
        <v>0</v>
      </c>
      <c r="AA149" s="507">
        <f>IF(AA140&lt;0,0,AA140*地域経済性分析・初期条件!$L$37)</f>
        <v>0</v>
      </c>
      <c r="AB149" s="507">
        <f>IF(AB140&lt;0,0,AB140*地域経済性分析・初期条件!$L$37)</f>
        <v>0</v>
      </c>
      <c r="AC149" s="507">
        <f>IF(AC140&lt;0,0,AC140*地域経済性分析・初期条件!$L$37)</f>
        <v>0</v>
      </c>
      <c r="AD149" s="507">
        <f>IF(AD140&lt;0,0,AD140*地域経済性分析・初期条件!$L$37)</f>
        <v>0</v>
      </c>
      <c r="AE149" s="507">
        <f>IF(AE140&lt;0,0,AE140*地域経済性分析・初期条件!$L$37)</f>
        <v>0</v>
      </c>
      <c r="AF149" s="507">
        <f>IF(AF140&lt;0,0,AF140*地域経済性分析・初期条件!$L$37)</f>
        <v>0</v>
      </c>
      <c r="AG149" s="507">
        <f>IF(AG140&lt;0,0,AG140*地域経済性分析・初期条件!$L$37)</f>
        <v>0</v>
      </c>
      <c r="AH149" s="507">
        <f>IF(AH140&lt;0,0,AH140*地域経済性分析・初期条件!$L$37)</f>
        <v>0</v>
      </c>
      <c r="AI149" s="548">
        <f>SUM(D149:N149)</f>
        <v>0</v>
      </c>
      <c r="AJ149" s="548">
        <f>SUM(D149:X149)</f>
        <v>0</v>
      </c>
      <c r="AK149" s="510">
        <f>SUM(D149:AH149)</f>
        <v>0</v>
      </c>
    </row>
    <row r="150" spans="1:37" ht="11.5" x14ac:dyDescent="0.25">
      <c r="A150" s="546" t="str">
        <f>A139&amp;B150</f>
        <v>はん用機械器具製造業企業の税引後利益（二次以降）</v>
      </c>
      <c r="B150" s="452" t="s">
        <v>345</v>
      </c>
      <c r="C150" s="465" t="s">
        <v>37</v>
      </c>
      <c r="D150" s="507">
        <f>D140*地域経済性分析・初期条件!$M$37</f>
        <v>0</v>
      </c>
      <c r="E150" s="507">
        <f>IF(E140&lt;0,0,E140*地域経済性分析・初期条件!$M$37)</f>
        <v>0</v>
      </c>
      <c r="F150" s="507">
        <f>IF(F140&lt;0,0,F140*地域経済性分析・初期条件!$M$37)</f>
        <v>0</v>
      </c>
      <c r="G150" s="507">
        <f>IF(G140&lt;0,0,G140*地域経済性分析・初期条件!$M$37)</f>
        <v>0</v>
      </c>
      <c r="H150" s="507">
        <f>IF(H140&lt;0,0,H140*地域経済性分析・初期条件!$M$37)</f>
        <v>0</v>
      </c>
      <c r="I150" s="507">
        <f>IF(I140&lt;0,0,I140*地域経済性分析・初期条件!$M$37)</f>
        <v>0</v>
      </c>
      <c r="J150" s="507">
        <f>IF(J140&lt;0,0,J140*地域経済性分析・初期条件!$M$37)</f>
        <v>0</v>
      </c>
      <c r="K150" s="507">
        <f>IF(K140&lt;0,0,K140*地域経済性分析・初期条件!$M$37)</f>
        <v>0</v>
      </c>
      <c r="L150" s="507">
        <f>IF(L140&lt;0,0,L140*地域経済性分析・初期条件!$M$37)</f>
        <v>0</v>
      </c>
      <c r="M150" s="507">
        <f>IF(M140&lt;0,0,M140*地域経済性分析・初期条件!$M$37)</f>
        <v>0</v>
      </c>
      <c r="N150" s="507">
        <f>IF(N140&lt;0,0,N140*地域経済性分析・初期条件!$M$37)</f>
        <v>0</v>
      </c>
      <c r="O150" s="507">
        <f>IF(O140&lt;0,0,O140*地域経済性分析・初期条件!$M$37)</f>
        <v>0</v>
      </c>
      <c r="P150" s="507">
        <f>IF(P140&lt;0,0,P140*地域経済性分析・初期条件!$M$37)</f>
        <v>0</v>
      </c>
      <c r="Q150" s="507">
        <f>IF(Q140&lt;0,0,Q140*地域経済性分析・初期条件!$M$37)</f>
        <v>0</v>
      </c>
      <c r="R150" s="507">
        <f>IF(R140&lt;0,0,R140*地域経済性分析・初期条件!$M$37)</f>
        <v>0</v>
      </c>
      <c r="S150" s="507">
        <f>IF(S140&lt;0,0,S140*地域経済性分析・初期条件!$M$37)</f>
        <v>0</v>
      </c>
      <c r="T150" s="507">
        <f>IF(T140&lt;0,0,T140*地域経済性分析・初期条件!$M$37)</f>
        <v>0</v>
      </c>
      <c r="U150" s="507">
        <f>IF(U140&lt;0,0,U140*地域経済性分析・初期条件!$M$37)</f>
        <v>0</v>
      </c>
      <c r="V150" s="507">
        <f>IF(V140&lt;0,0,V140*地域経済性分析・初期条件!$M$37)</f>
        <v>0</v>
      </c>
      <c r="W150" s="507">
        <f>IF(W140&lt;0,0,W140*地域経済性分析・初期条件!$M$37)</f>
        <v>0</v>
      </c>
      <c r="X150" s="507">
        <f>IF(X140&lt;0,0,X140*地域経済性分析・初期条件!$M$37)</f>
        <v>0</v>
      </c>
      <c r="Y150" s="507">
        <f>IF(Y140&lt;0,0,Y140*地域経済性分析・初期条件!$M$37)</f>
        <v>0</v>
      </c>
      <c r="Z150" s="507">
        <f>IF(Z140&lt;0,0,Z140*地域経済性分析・初期条件!$M$37)</f>
        <v>0</v>
      </c>
      <c r="AA150" s="507">
        <f>IF(AA140&lt;0,0,AA140*地域経済性分析・初期条件!$M$37)</f>
        <v>0</v>
      </c>
      <c r="AB150" s="507">
        <f>IF(AB140&lt;0,0,AB140*地域経済性分析・初期条件!$M$37)</f>
        <v>0</v>
      </c>
      <c r="AC150" s="507">
        <f>IF(AC140&lt;0,0,AC140*地域経済性分析・初期条件!$M$37)</f>
        <v>0</v>
      </c>
      <c r="AD150" s="507">
        <f>IF(AD140&lt;0,0,AD140*地域経済性分析・初期条件!$M$37)</f>
        <v>0</v>
      </c>
      <c r="AE150" s="507">
        <f>IF(AE140&lt;0,0,AE140*地域経済性分析・初期条件!$M$37)</f>
        <v>0</v>
      </c>
      <c r="AF150" s="507">
        <f>IF(AF140&lt;0,0,AF140*地域経済性分析・初期条件!$M$37)</f>
        <v>0</v>
      </c>
      <c r="AG150" s="507">
        <f>IF(AG140&lt;0,0,AG140*地域経済性分析・初期条件!$M$37)</f>
        <v>0</v>
      </c>
      <c r="AH150" s="507">
        <f>IF(AH140&lt;0,0,AH140*地域経済性分析・初期条件!$M$37)</f>
        <v>0</v>
      </c>
      <c r="AI150" s="548">
        <f>SUM(D150:N150)</f>
        <v>0</v>
      </c>
      <c r="AJ150" s="548">
        <f>SUM(D150:X150)</f>
        <v>0</v>
      </c>
      <c r="AK150" s="510">
        <f>SUM(D150:AH150)</f>
        <v>0</v>
      </c>
    </row>
    <row r="151" spans="1:37" ht="11.5" x14ac:dyDescent="0.25">
      <c r="A151" s="546" t="str">
        <f>A139&amp;B151</f>
        <v>はん用機械器具製造業都道府県税収（二次以降）</v>
      </c>
      <c r="B151" s="452" t="s">
        <v>346</v>
      </c>
      <c r="C151" s="465" t="s">
        <v>37</v>
      </c>
      <c r="D151" s="507">
        <f>D140*地域経済性分析・初期条件!$N$37</f>
        <v>0</v>
      </c>
      <c r="E151" s="507">
        <f>IF(E140&lt;0,0,E140*地域経済性分析・初期条件!$N$37)</f>
        <v>0</v>
      </c>
      <c r="F151" s="507">
        <f>IF(F140&lt;0,0,F140*地域経済性分析・初期条件!$N$37)</f>
        <v>0</v>
      </c>
      <c r="G151" s="507">
        <f>IF(G140&lt;0,0,G140*地域経済性分析・初期条件!$N$37)</f>
        <v>0</v>
      </c>
      <c r="H151" s="507">
        <f>IF(H140&lt;0,0,H140*地域経済性分析・初期条件!$N$37)</f>
        <v>0</v>
      </c>
      <c r="I151" s="507">
        <f>IF(I140&lt;0,0,I140*地域経済性分析・初期条件!$N$37)</f>
        <v>0</v>
      </c>
      <c r="J151" s="507">
        <f>IF(J140&lt;0,0,J140*地域経済性分析・初期条件!$N$37)</f>
        <v>0</v>
      </c>
      <c r="K151" s="507">
        <f>IF(K140&lt;0,0,K140*地域経済性分析・初期条件!$N$37)</f>
        <v>0</v>
      </c>
      <c r="L151" s="507">
        <f>IF(L140&lt;0,0,L140*地域経済性分析・初期条件!$N$37)</f>
        <v>0</v>
      </c>
      <c r="M151" s="507">
        <f>IF(M140&lt;0,0,M140*地域経済性分析・初期条件!$N$37)</f>
        <v>0</v>
      </c>
      <c r="N151" s="507">
        <f>IF(N140&lt;0,0,N140*地域経済性分析・初期条件!$N$37)</f>
        <v>0</v>
      </c>
      <c r="O151" s="507">
        <f>IF(O140&lt;0,0,O140*地域経済性分析・初期条件!$N$37)</f>
        <v>0</v>
      </c>
      <c r="P151" s="507">
        <f>IF(P140&lt;0,0,P140*地域経済性分析・初期条件!$N$37)</f>
        <v>0</v>
      </c>
      <c r="Q151" s="507">
        <f>IF(Q140&lt;0,0,Q140*地域経済性分析・初期条件!$N$37)</f>
        <v>0</v>
      </c>
      <c r="R151" s="507">
        <f>IF(R140&lt;0,0,R140*地域経済性分析・初期条件!$N$37)</f>
        <v>0</v>
      </c>
      <c r="S151" s="507">
        <f>IF(S140&lt;0,0,S140*地域経済性分析・初期条件!$N$37)</f>
        <v>0</v>
      </c>
      <c r="T151" s="507">
        <f>IF(T140&lt;0,0,T140*地域経済性分析・初期条件!$N$37)</f>
        <v>0</v>
      </c>
      <c r="U151" s="507">
        <f>IF(U140&lt;0,0,U140*地域経済性分析・初期条件!$N$37)</f>
        <v>0</v>
      </c>
      <c r="V151" s="507">
        <f>IF(V140&lt;0,0,V140*地域経済性分析・初期条件!$N$37)</f>
        <v>0</v>
      </c>
      <c r="W151" s="507">
        <f>IF(W140&lt;0,0,W140*地域経済性分析・初期条件!$N$37)</f>
        <v>0</v>
      </c>
      <c r="X151" s="507">
        <f>IF(X140&lt;0,0,X140*地域経済性分析・初期条件!$N$37)</f>
        <v>0</v>
      </c>
      <c r="Y151" s="507">
        <f>IF(Y140&lt;0,0,Y140*地域経済性分析・初期条件!$N$37)</f>
        <v>0</v>
      </c>
      <c r="Z151" s="507">
        <f>IF(Z140&lt;0,0,Z140*地域経済性分析・初期条件!$N$37)</f>
        <v>0</v>
      </c>
      <c r="AA151" s="507">
        <f>IF(AA140&lt;0,0,AA140*地域経済性分析・初期条件!$N$37)</f>
        <v>0</v>
      </c>
      <c r="AB151" s="507">
        <f>IF(AB140&lt;0,0,AB140*地域経済性分析・初期条件!$N$37)</f>
        <v>0</v>
      </c>
      <c r="AC151" s="507">
        <f>IF(AC140&lt;0,0,AC140*地域経済性分析・初期条件!$N$37)</f>
        <v>0</v>
      </c>
      <c r="AD151" s="507">
        <f>IF(AD140&lt;0,0,AD140*地域経済性分析・初期条件!$N$37)</f>
        <v>0</v>
      </c>
      <c r="AE151" s="507">
        <f>IF(AE140&lt;0,0,AE140*地域経済性分析・初期条件!$N$37)</f>
        <v>0</v>
      </c>
      <c r="AF151" s="507">
        <f>IF(AF140&lt;0,0,AF140*地域経済性分析・初期条件!$N$37)</f>
        <v>0</v>
      </c>
      <c r="AG151" s="507">
        <f>IF(AG140&lt;0,0,AG140*地域経済性分析・初期条件!$N$37)</f>
        <v>0</v>
      </c>
      <c r="AH151" s="507">
        <f>IF(AH140&lt;0,0,AH140*地域経済性分析・初期条件!$N$37)</f>
        <v>0</v>
      </c>
      <c r="AI151" s="548">
        <f>SUM(D151:N151)</f>
        <v>0</v>
      </c>
      <c r="AJ151" s="548">
        <f>SUM(D151:X151)</f>
        <v>0</v>
      </c>
      <c r="AK151" s="510">
        <f>SUM(D151:AH151)</f>
        <v>0</v>
      </c>
    </row>
    <row r="152" spans="1:37" ht="11.5" x14ac:dyDescent="0.25">
      <c r="A152" s="546" t="str">
        <f>A139&amp;B152</f>
        <v>はん用機械器具製造業市町村税収（二次以降）</v>
      </c>
      <c r="B152" s="452" t="s">
        <v>347</v>
      </c>
      <c r="C152" s="465" t="s">
        <v>37</v>
      </c>
      <c r="D152" s="507">
        <f>D140*地域経済性分析・初期条件!$O$37</f>
        <v>0</v>
      </c>
      <c r="E152" s="507">
        <f>IF(E140&lt;0,0,E140*地域経済性分析・初期条件!$O$37)</f>
        <v>0</v>
      </c>
      <c r="F152" s="507">
        <f>IF(F140&lt;0,0,F140*地域経済性分析・初期条件!$O$37)</f>
        <v>0</v>
      </c>
      <c r="G152" s="507">
        <f>IF(G140&lt;0,0,G140*地域経済性分析・初期条件!$O$37)</f>
        <v>0</v>
      </c>
      <c r="H152" s="507">
        <f>IF(H140&lt;0,0,H140*地域経済性分析・初期条件!$O$37)</f>
        <v>0</v>
      </c>
      <c r="I152" s="507">
        <f>IF(I140&lt;0,0,I140*地域経済性分析・初期条件!$O$37)</f>
        <v>0</v>
      </c>
      <c r="J152" s="507">
        <f>IF(J140&lt;0,0,J140*地域経済性分析・初期条件!$O$37)</f>
        <v>0</v>
      </c>
      <c r="K152" s="507">
        <f>IF(K140&lt;0,0,K140*地域経済性分析・初期条件!$O$37)</f>
        <v>0</v>
      </c>
      <c r="L152" s="507">
        <f>IF(L140&lt;0,0,L140*地域経済性分析・初期条件!$O$37)</f>
        <v>0</v>
      </c>
      <c r="M152" s="507">
        <f>IF(M140&lt;0,0,M140*地域経済性分析・初期条件!$O$37)</f>
        <v>0</v>
      </c>
      <c r="N152" s="507">
        <f>IF(N140&lt;0,0,N140*地域経済性分析・初期条件!$O$37)</f>
        <v>0</v>
      </c>
      <c r="O152" s="507">
        <f>IF(O140&lt;0,0,O140*地域経済性分析・初期条件!$O$37)</f>
        <v>0</v>
      </c>
      <c r="P152" s="507">
        <f>IF(P140&lt;0,0,P140*地域経済性分析・初期条件!$O$37)</f>
        <v>0</v>
      </c>
      <c r="Q152" s="507">
        <f>IF(Q140&lt;0,0,Q140*地域経済性分析・初期条件!$O$37)</f>
        <v>0</v>
      </c>
      <c r="R152" s="507">
        <f>IF(R140&lt;0,0,R140*地域経済性分析・初期条件!$O$37)</f>
        <v>0</v>
      </c>
      <c r="S152" s="507">
        <f>IF(S140&lt;0,0,S140*地域経済性分析・初期条件!$O$37)</f>
        <v>0</v>
      </c>
      <c r="T152" s="507">
        <f>IF(T140&lt;0,0,T140*地域経済性分析・初期条件!$O$37)</f>
        <v>0</v>
      </c>
      <c r="U152" s="507">
        <f>IF(U140&lt;0,0,U140*地域経済性分析・初期条件!$O$37)</f>
        <v>0</v>
      </c>
      <c r="V152" s="507">
        <f>IF(V140&lt;0,0,V140*地域経済性分析・初期条件!$O$37)</f>
        <v>0</v>
      </c>
      <c r="W152" s="507">
        <f>IF(W140&lt;0,0,W140*地域経済性分析・初期条件!$O$37)</f>
        <v>0</v>
      </c>
      <c r="X152" s="507">
        <f>IF(X140&lt;0,0,X140*地域経済性分析・初期条件!$O$37)</f>
        <v>0</v>
      </c>
      <c r="Y152" s="507">
        <f>IF(Y140&lt;0,0,Y140*地域経済性分析・初期条件!$O$37)</f>
        <v>0</v>
      </c>
      <c r="Z152" s="507">
        <f>IF(Z140&lt;0,0,Z140*地域経済性分析・初期条件!$O$37)</f>
        <v>0</v>
      </c>
      <c r="AA152" s="507">
        <f>IF(AA140&lt;0,0,AA140*地域経済性分析・初期条件!$O$37)</f>
        <v>0</v>
      </c>
      <c r="AB152" s="507">
        <f>IF(AB140&lt;0,0,AB140*地域経済性分析・初期条件!$O$37)</f>
        <v>0</v>
      </c>
      <c r="AC152" s="507">
        <f>IF(AC140&lt;0,0,AC140*地域経済性分析・初期条件!$O$37)</f>
        <v>0</v>
      </c>
      <c r="AD152" s="507">
        <f>IF(AD140&lt;0,0,AD140*地域経済性分析・初期条件!$O$37)</f>
        <v>0</v>
      </c>
      <c r="AE152" s="507">
        <f>IF(AE140&lt;0,0,AE140*地域経済性分析・初期条件!$O$37)</f>
        <v>0</v>
      </c>
      <c r="AF152" s="507">
        <f>IF(AF140&lt;0,0,AF140*地域経済性分析・初期条件!$O$37)</f>
        <v>0</v>
      </c>
      <c r="AG152" s="507">
        <f>IF(AG140&lt;0,0,AG140*地域経済性分析・初期条件!$O$37)</f>
        <v>0</v>
      </c>
      <c r="AH152" s="507">
        <f>IF(AH140&lt;0,0,AH140*地域経済性分析・初期条件!$O$37)</f>
        <v>0</v>
      </c>
      <c r="AI152" s="548">
        <f>SUM(D152:N152)</f>
        <v>0</v>
      </c>
      <c r="AJ152" s="548">
        <f>SUM(D152:X152)</f>
        <v>0</v>
      </c>
      <c r="AK152" s="510">
        <f>SUM(D152:AH152)</f>
        <v>0</v>
      </c>
    </row>
    <row r="153" spans="1:37" ht="11.5" x14ac:dyDescent="0.25">
      <c r="A153" s="502">
        <f>地域経済性分析・初期条件!$G$38</f>
        <v>0</v>
      </c>
      <c r="C153" s="465"/>
      <c r="D153" s="507"/>
      <c r="E153" s="507"/>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c r="AE153" s="478"/>
      <c r="AF153" s="478"/>
      <c r="AG153" s="478"/>
      <c r="AH153" s="478"/>
      <c r="AI153" s="548"/>
      <c r="AJ153" s="548"/>
      <c r="AK153" s="510"/>
    </row>
    <row r="154" spans="1:37" ht="11.5" x14ac:dyDescent="0.25">
      <c r="A154" s="546" t="str">
        <f>A153&amp;B154</f>
        <v>0売上（税別）</v>
      </c>
      <c r="B154" s="452" t="s">
        <v>1047</v>
      </c>
      <c r="C154" s="464" t="s">
        <v>37</v>
      </c>
      <c r="D154" s="507">
        <f>D138*地域経済性分析・初期条件!$F$38</f>
        <v>0</v>
      </c>
      <c r="E154" s="507">
        <f>IF(E138&lt;0,0,E138*地域経済性分析・初期条件!$F$38)</f>
        <v>0</v>
      </c>
      <c r="F154" s="507">
        <f>IF(F138&lt;0,0,F138*地域経済性分析・初期条件!$F$38)</f>
        <v>0</v>
      </c>
      <c r="G154" s="507">
        <f>IF(G138&lt;0,0,G138*地域経済性分析・初期条件!$F$38)</f>
        <v>0</v>
      </c>
      <c r="H154" s="507">
        <f>IF(H138&lt;0,0,H138*地域経済性分析・初期条件!$F$38)</f>
        <v>0</v>
      </c>
      <c r="I154" s="507">
        <f>IF(I138&lt;0,0,I138*地域経済性分析・初期条件!$F$38)</f>
        <v>0</v>
      </c>
      <c r="J154" s="507">
        <f>IF(J138&lt;0,0,J138*地域経済性分析・初期条件!$F$38)</f>
        <v>0</v>
      </c>
      <c r="K154" s="507">
        <f>IF(K138&lt;0,0,K138*地域経済性分析・初期条件!$F$38)</f>
        <v>0</v>
      </c>
      <c r="L154" s="507">
        <f>IF(L138&lt;0,0,L138*地域経済性分析・初期条件!$F$38)</f>
        <v>0</v>
      </c>
      <c r="M154" s="507">
        <f>IF(M138&lt;0,0,M138*地域経済性分析・初期条件!$F$38)</f>
        <v>0</v>
      </c>
      <c r="N154" s="507">
        <f>IF(N138&lt;0,0,N138*地域経済性分析・初期条件!$F$38)</f>
        <v>0</v>
      </c>
      <c r="O154" s="507">
        <f>IF(O138&lt;0,0,O138*地域経済性分析・初期条件!$F$38)</f>
        <v>0</v>
      </c>
      <c r="P154" s="507">
        <f>IF(P138&lt;0,0,P138*地域経済性分析・初期条件!$F$38)</f>
        <v>0</v>
      </c>
      <c r="Q154" s="507">
        <f>IF(Q138&lt;0,0,Q138*地域経済性分析・初期条件!$F$38)</f>
        <v>0</v>
      </c>
      <c r="R154" s="507">
        <f>IF(R138&lt;0,0,R138*地域経済性分析・初期条件!$F$38)</f>
        <v>0</v>
      </c>
      <c r="S154" s="507">
        <f>IF(S138&lt;0,0,S138*地域経済性分析・初期条件!$F$38)</f>
        <v>0</v>
      </c>
      <c r="T154" s="507">
        <f>IF(T138&lt;0,0,T138*地域経済性分析・初期条件!$F$38)</f>
        <v>0</v>
      </c>
      <c r="U154" s="507">
        <f>IF(U138&lt;0,0,U138*地域経済性分析・初期条件!$F$38)</f>
        <v>0</v>
      </c>
      <c r="V154" s="507">
        <f>IF(V138&lt;0,0,V138*地域経済性分析・初期条件!$F$38)</f>
        <v>0</v>
      </c>
      <c r="W154" s="507">
        <f>IF(W138&lt;0,0,W138*地域経済性分析・初期条件!$F$38)</f>
        <v>0</v>
      </c>
      <c r="X154" s="507">
        <f>IF(X138&lt;0,0,X138*地域経済性分析・初期条件!$F$38)</f>
        <v>0</v>
      </c>
      <c r="Y154" s="507">
        <f>IF(Y138&lt;0,0,Y138*地域経済性分析・初期条件!$F$38)</f>
        <v>0</v>
      </c>
      <c r="Z154" s="507">
        <f>IF(Z138&lt;0,0,Z138*地域経済性分析・初期条件!$F$38)</f>
        <v>0</v>
      </c>
      <c r="AA154" s="507">
        <f>IF(AA138&lt;0,0,AA138*地域経済性分析・初期条件!$F$38)</f>
        <v>0</v>
      </c>
      <c r="AB154" s="507">
        <f>IF(AB138&lt;0,0,AB138*地域経済性分析・初期条件!$F$38)</f>
        <v>0</v>
      </c>
      <c r="AC154" s="507">
        <f>IF(AC138&lt;0,0,AC138*地域経済性分析・初期条件!$F$38)</f>
        <v>0</v>
      </c>
      <c r="AD154" s="507">
        <f>IF(AD138&lt;0,0,AD138*地域経済性分析・初期条件!$F$38)</f>
        <v>0</v>
      </c>
      <c r="AE154" s="507">
        <f>IF(AE138&lt;0,0,AE138*地域経済性分析・初期条件!$F$38)</f>
        <v>0</v>
      </c>
      <c r="AF154" s="507">
        <f>IF(AF138&lt;0,0,AF138*地域経済性分析・初期条件!$F$38)</f>
        <v>0</v>
      </c>
      <c r="AG154" s="507">
        <f>IF(AG138&lt;0,0,AG138*地域経済性分析・初期条件!$F$38)</f>
        <v>0</v>
      </c>
      <c r="AH154" s="507">
        <f>IF(AH138&lt;0,0,AH138*地域経済性分析・初期条件!$F$38)</f>
        <v>0</v>
      </c>
      <c r="AI154" s="548">
        <f t="shared" ref="AI154:AI162" si="55">SUM(D154:N154)</f>
        <v>0</v>
      </c>
      <c r="AJ154" s="548">
        <f t="shared" ref="AJ154:AJ162" si="56">SUM(D154:X154)</f>
        <v>0</v>
      </c>
      <c r="AK154" s="510">
        <f t="shared" ref="AK154:AK162" si="57">SUM(D154:AH154)</f>
        <v>0</v>
      </c>
    </row>
    <row r="155" spans="1:37" ht="11.5" x14ac:dyDescent="0.25">
      <c r="A155" s="546" t="str">
        <f>A153&amp;B155</f>
        <v>0消費税（都道府県）</v>
      </c>
      <c r="B155" s="452" t="s">
        <v>263</v>
      </c>
      <c r="C155" s="464" t="s">
        <v>37</v>
      </c>
      <c r="D155" s="507">
        <f>IF(D154&lt;0,0,D154*波及効果シート!$D$72)</f>
        <v>0</v>
      </c>
      <c r="E155" s="507">
        <f>IF(E154&lt;0,0,E154*波及効果シート!$D$72)</f>
        <v>0</v>
      </c>
      <c r="F155" s="507">
        <f>IF(F154&lt;0,0,F154*波及効果シート!$D$72)</f>
        <v>0</v>
      </c>
      <c r="G155" s="507">
        <f>IF(G154&lt;0,0,G154*波及効果シート!$D$72)</f>
        <v>0</v>
      </c>
      <c r="H155" s="507">
        <f>IF(H154&lt;0,0,H154*波及効果シート!$D$72)</f>
        <v>0</v>
      </c>
      <c r="I155" s="507">
        <f>IF(I154&lt;0,0,I154*波及効果シート!$D$72)</f>
        <v>0</v>
      </c>
      <c r="J155" s="507">
        <f>IF(J154&lt;0,0,J154*波及効果シート!$D$72)</f>
        <v>0</v>
      </c>
      <c r="K155" s="507">
        <f>IF(K154&lt;0,0,K154*波及効果シート!$D$72)</f>
        <v>0</v>
      </c>
      <c r="L155" s="507">
        <f>IF(L154&lt;0,0,L154*波及効果シート!$D$72)</f>
        <v>0</v>
      </c>
      <c r="M155" s="507">
        <f>IF(M154&lt;0,0,M154*波及効果シート!$D$72)</f>
        <v>0</v>
      </c>
      <c r="N155" s="507">
        <f>IF(N154&lt;0,0,N154*波及効果シート!$D$72)</f>
        <v>0</v>
      </c>
      <c r="O155" s="507">
        <f>IF(O154&lt;0,0,O154*波及効果シート!$D$72)</f>
        <v>0</v>
      </c>
      <c r="P155" s="507">
        <f>IF(P154&lt;0,0,P154*波及効果シート!$D$72)</f>
        <v>0</v>
      </c>
      <c r="Q155" s="507">
        <f>IF(Q154&lt;0,0,Q154*波及効果シート!$D$72)</f>
        <v>0</v>
      </c>
      <c r="R155" s="507">
        <f>IF(R154&lt;0,0,R154*波及効果シート!$D$72)</f>
        <v>0</v>
      </c>
      <c r="S155" s="507">
        <f>IF(S154&lt;0,0,S154*波及効果シート!$D$72)</f>
        <v>0</v>
      </c>
      <c r="T155" s="507">
        <f>IF(T154&lt;0,0,T154*波及効果シート!$D$72)</f>
        <v>0</v>
      </c>
      <c r="U155" s="507">
        <f>IF(U154&lt;0,0,U154*波及効果シート!$D$72)</f>
        <v>0</v>
      </c>
      <c r="V155" s="507">
        <f>IF(V154&lt;0,0,V154*波及効果シート!$D$72)</f>
        <v>0</v>
      </c>
      <c r="W155" s="507">
        <f>IF(W154&lt;0,0,W154*波及効果シート!$D$72)</f>
        <v>0</v>
      </c>
      <c r="X155" s="507">
        <f>IF(X154&lt;0,0,X154*波及効果シート!$D$72)</f>
        <v>0</v>
      </c>
      <c r="Y155" s="507">
        <f>IF(Y154&lt;0,0,Y154*波及効果シート!$D$72)</f>
        <v>0</v>
      </c>
      <c r="Z155" s="507">
        <f>IF(Z154&lt;0,0,Z154*波及効果シート!$D$72)</f>
        <v>0</v>
      </c>
      <c r="AA155" s="507">
        <f>IF(AA154&lt;0,0,AA154*波及効果シート!$D$72)</f>
        <v>0</v>
      </c>
      <c r="AB155" s="507">
        <f>IF(AB154&lt;0,0,AB154*波及効果シート!$D$72)</f>
        <v>0</v>
      </c>
      <c r="AC155" s="507">
        <f>IF(AC154&lt;0,0,AC154*波及効果シート!$D$72)</f>
        <v>0</v>
      </c>
      <c r="AD155" s="507">
        <f>IF(AD154&lt;0,0,AD154*波及効果シート!$D$72)</f>
        <v>0</v>
      </c>
      <c r="AE155" s="507">
        <f>IF(AE154&lt;0,0,AE154*波及効果シート!$D$72)</f>
        <v>0</v>
      </c>
      <c r="AF155" s="507">
        <f>IF(AF154&lt;0,0,AF154*波及効果シート!$D$72)</f>
        <v>0</v>
      </c>
      <c r="AG155" s="507">
        <f>IF(AG154&lt;0,0,AG154*波及効果シート!$D$72)</f>
        <v>0</v>
      </c>
      <c r="AH155" s="507">
        <f>IF(AH154&lt;0,0,AH154*波及効果シート!$D$72)</f>
        <v>0</v>
      </c>
      <c r="AI155" s="548">
        <f t="shared" si="55"/>
        <v>0</v>
      </c>
      <c r="AJ155" s="548">
        <f t="shared" si="56"/>
        <v>0</v>
      </c>
      <c r="AK155" s="510">
        <f t="shared" si="57"/>
        <v>0</v>
      </c>
    </row>
    <row r="156" spans="1:37" ht="11.5" x14ac:dyDescent="0.25">
      <c r="A156" s="546" t="str">
        <f>A153&amp;B156</f>
        <v>0消費税（市町村）</v>
      </c>
      <c r="B156" s="452" t="s">
        <v>1048</v>
      </c>
      <c r="C156" s="465" t="s">
        <v>37</v>
      </c>
      <c r="D156" s="507">
        <f>IF(D154&lt;0,0,D154*波及効果シート!$D$74)</f>
        <v>0</v>
      </c>
      <c r="E156" s="507">
        <f>IF(E154&lt;0,0,E154*波及効果シート!$D$74)</f>
        <v>0</v>
      </c>
      <c r="F156" s="507">
        <f>IF(F154&lt;0,0,F154*波及効果シート!$D$74)</f>
        <v>0</v>
      </c>
      <c r="G156" s="507">
        <f>IF(G154&lt;0,0,G154*波及効果シート!$D$74)</f>
        <v>0</v>
      </c>
      <c r="H156" s="507">
        <f>IF(H154&lt;0,0,H154*波及効果シート!$D$74)</f>
        <v>0</v>
      </c>
      <c r="I156" s="507">
        <f>IF(I154&lt;0,0,I154*波及効果シート!$D$74)</f>
        <v>0</v>
      </c>
      <c r="J156" s="507">
        <f>IF(J154&lt;0,0,J154*波及効果シート!$D$74)</f>
        <v>0</v>
      </c>
      <c r="K156" s="507">
        <f>IF(K154&lt;0,0,K154*波及効果シート!$D$74)</f>
        <v>0</v>
      </c>
      <c r="L156" s="507">
        <f>IF(L154&lt;0,0,L154*波及効果シート!$D$74)</f>
        <v>0</v>
      </c>
      <c r="M156" s="507">
        <f>IF(M154&lt;0,0,M154*波及効果シート!$D$74)</f>
        <v>0</v>
      </c>
      <c r="N156" s="507">
        <f>IF(N154&lt;0,0,N154*波及効果シート!$D$74)</f>
        <v>0</v>
      </c>
      <c r="O156" s="507">
        <f>IF(O154&lt;0,0,O154*波及効果シート!$D$74)</f>
        <v>0</v>
      </c>
      <c r="P156" s="507">
        <f>IF(P154&lt;0,0,P154*波及効果シート!$D$74)</f>
        <v>0</v>
      </c>
      <c r="Q156" s="507">
        <f>IF(Q154&lt;0,0,Q154*波及効果シート!$D$74)</f>
        <v>0</v>
      </c>
      <c r="R156" s="507">
        <f>IF(R154&lt;0,0,R154*波及効果シート!$D$74)</f>
        <v>0</v>
      </c>
      <c r="S156" s="507">
        <f>IF(S154&lt;0,0,S154*波及効果シート!$D$74)</f>
        <v>0</v>
      </c>
      <c r="T156" s="507">
        <f>IF(T154&lt;0,0,T154*波及効果シート!$D$74)</f>
        <v>0</v>
      </c>
      <c r="U156" s="507">
        <f>IF(U154&lt;0,0,U154*波及効果シート!$D$74)</f>
        <v>0</v>
      </c>
      <c r="V156" s="507">
        <f>IF(V154&lt;0,0,V154*波及効果シート!$D$74)</f>
        <v>0</v>
      </c>
      <c r="W156" s="507">
        <f>IF(W154&lt;0,0,W154*波及効果シート!$D$74)</f>
        <v>0</v>
      </c>
      <c r="X156" s="507">
        <f>IF(X154&lt;0,0,X154*波及効果シート!$D$74)</f>
        <v>0</v>
      </c>
      <c r="Y156" s="507">
        <f>IF(Y154&lt;0,0,Y154*波及効果シート!$D$74)</f>
        <v>0</v>
      </c>
      <c r="Z156" s="507">
        <f>IF(Z154&lt;0,0,Z154*波及効果シート!$D$74)</f>
        <v>0</v>
      </c>
      <c r="AA156" s="507">
        <f>IF(AA154&lt;0,0,AA154*波及効果シート!$D$74)</f>
        <v>0</v>
      </c>
      <c r="AB156" s="507">
        <f>IF(AB154&lt;0,0,AB154*波及効果シート!$D$74)</f>
        <v>0</v>
      </c>
      <c r="AC156" s="507">
        <f>IF(AC154&lt;0,0,AC154*波及効果シート!$D$74)</f>
        <v>0</v>
      </c>
      <c r="AD156" s="507">
        <f>IF(AD154&lt;0,0,AD154*波及効果シート!$D$74)</f>
        <v>0</v>
      </c>
      <c r="AE156" s="507">
        <f>IF(AE154&lt;0,0,AE154*波及効果シート!$D$74)</f>
        <v>0</v>
      </c>
      <c r="AF156" s="507">
        <f>IF(AF154&lt;0,0,AF154*波及効果シート!$D$74)</f>
        <v>0</v>
      </c>
      <c r="AG156" s="507">
        <f>IF(AG154&lt;0,0,AG154*波及効果シート!$D$74)</f>
        <v>0</v>
      </c>
      <c r="AH156" s="507">
        <f>IF(AH154&lt;0,0,AH154*波及効果シート!$D$74)</f>
        <v>0</v>
      </c>
      <c r="AI156" s="548">
        <f t="shared" si="55"/>
        <v>0</v>
      </c>
      <c r="AJ156" s="548">
        <f t="shared" si="56"/>
        <v>0</v>
      </c>
      <c r="AK156" s="510">
        <f t="shared" si="57"/>
        <v>0</v>
      </c>
    </row>
    <row r="157" spans="1:37" ht="11.5" x14ac:dyDescent="0.25">
      <c r="A157" s="546" t="str">
        <f>A153&amp;B157</f>
        <v>0所得税（国税）</v>
      </c>
      <c r="B157" s="452" t="s">
        <v>356</v>
      </c>
      <c r="C157" s="465" t="s">
        <v>37</v>
      </c>
      <c r="D157" s="507">
        <f>D154*地域経済性分析・初期条件!$P$37</f>
        <v>0</v>
      </c>
      <c r="E157" s="507">
        <f>IF(E154&lt;0,0,E154*地域経済性分析・初期条件!$P$38)</f>
        <v>0</v>
      </c>
      <c r="F157" s="507">
        <f>IF(F154&lt;0,0,F154*地域経済性分析・初期条件!$P$38)</f>
        <v>0</v>
      </c>
      <c r="G157" s="507">
        <f>IF(G154&lt;0,0,G154*地域経済性分析・初期条件!$P$38)</f>
        <v>0</v>
      </c>
      <c r="H157" s="507">
        <f>IF(H154&lt;0,0,H154*地域経済性分析・初期条件!$P$38)</f>
        <v>0</v>
      </c>
      <c r="I157" s="507">
        <f>IF(I154&lt;0,0,I154*地域経済性分析・初期条件!$P$38)</f>
        <v>0</v>
      </c>
      <c r="J157" s="507">
        <f>IF(J154&lt;0,0,J154*地域経済性分析・初期条件!$P$38)</f>
        <v>0</v>
      </c>
      <c r="K157" s="507">
        <f>IF(K154&lt;0,0,K154*地域経済性分析・初期条件!$P$38)</f>
        <v>0</v>
      </c>
      <c r="L157" s="507">
        <f>IF(L154&lt;0,0,L154*地域経済性分析・初期条件!$P$38)</f>
        <v>0</v>
      </c>
      <c r="M157" s="507">
        <f>IF(M154&lt;0,0,M154*地域経済性分析・初期条件!$P$38)</f>
        <v>0</v>
      </c>
      <c r="N157" s="507">
        <f>IF(N154&lt;0,0,N154*地域経済性分析・初期条件!$P$38)</f>
        <v>0</v>
      </c>
      <c r="O157" s="507">
        <f>IF(O154&lt;0,0,O154*地域経済性分析・初期条件!$P$38)</f>
        <v>0</v>
      </c>
      <c r="P157" s="507">
        <f>IF(P154&lt;0,0,P154*地域経済性分析・初期条件!$P$38)</f>
        <v>0</v>
      </c>
      <c r="Q157" s="507">
        <f>IF(Q154&lt;0,0,Q154*地域経済性分析・初期条件!$P$38)</f>
        <v>0</v>
      </c>
      <c r="R157" s="507">
        <f>IF(R154&lt;0,0,R154*地域経済性分析・初期条件!$P$38)</f>
        <v>0</v>
      </c>
      <c r="S157" s="507">
        <f>IF(S154&lt;0,0,S154*地域経済性分析・初期条件!$P$38)</f>
        <v>0</v>
      </c>
      <c r="T157" s="507">
        <f>IF(T154&lt;0,0,T154*地域経済性分析・初期条件!$P$38)</f>
        <v>0</v>
      </c>
      <c r="U157" s="507">
        <f>IF(U154&lt;0,0,U154*地域経済性分析・初期条件!$P$38)</f>
        <v>0</v>
      </c>
      <c r="V157" s="507">
        <f>IF(V154&lt;0,0,V154*地域経済性分析・初期条件!$P$38)</f>
        <v>0</v>
      </c>
      <c r="W157" s="507">
        <f>IF(W154&lt;0,0,W154*地域経済性分析・初期条件!$P$38)</f>
        <v>0</v>
      </c>
      <c r="X157" s="507">
        <f>IF(X154&lt;0,0,X154*地域経済性分析・初期条件!$P$38)</f>
        <v>0</v>
      </c>
      <c r="Y157" s="507">
        <f>IF(Y154&lt;0,0,Y154*地域経済性分析・初期条件!$P$38)</f>
        <v>0</v>
      </c>
      <c r="Z157" s="507">
        <f>IF(Z154&lt;0,0,Z154*地域経済性分析・初期条件!$P$38)</f>
        <v>0</v>
      </c>
      <c r="AA157" s="507">
        <f>IF(AA154&lt;0,0,AA154*地域経済性分析・初期条件!$P$38)</f>
        <v>0</v>
      </c>
      <c r="AB157" s="507">
        <f>IF(AB154&lt;0,0,AB154*地域経済性分析・初期条件!$P$38)</f>
        <v>0</v>
      </c>
      <c r="AC157" s="507">
        <f>IF(AC154&lt;0,0,AC154*地域経済性分析・初期条件!$P$38)</f>
        <v>0</v>
      </c>
      <c r="AD157" s="507">
        <f>IF(AD154&lt;0,0,AD154*地域経済性分析・初期条件!$P$38)</f>
        <v>0</v>
      </c>
      <c r="AE157" s="507">
        <f>IF(AE154&lt;0,0,AE154*地域経済性分析・初期条件!$P$38)</f>
        <v>0</v>
      </c>
      <c r="AF157" s="507">
        <f>IF(AF154&lt;0,0,AF154*地域経済性分析・初期条件!$P$38)</f>
        <v>0</v>
      </c>
      <c r="AG157" s="507">
        <f>IF(AG154&lt;0,0,AG154*地域経済性分析・初期条件!$P$38)</f>
        <v>0</v>
      </c>
      <c r="AH157" s="507">
        <f>IF(AH154&lt;0,0,AH154*地域経済性分析・初期条件!$P$38)</f>
        <v>0</v>
      </c>
      <c r="AI157" s="548">
        <f t="shared" si="55"/>
        <v>0</v>
      </c>
      <c r="AJ157" s="548">
        <f t="shared" si="56"/>
        <v>0</v>
      </c>
      <c r="AK157" s="510">
        <f t="shared" si="57"/>
        <v>0</v>
      </c>
    </row>
    <row r="158" spans="1:37" ht="11.5" x14ac:dyDescent="0.25">
      <c r="A158" s="546" t="str">
        <f>A153&amp;B158</f>
        <v>0法人税（国税）</v>
      </c>
      <c r="B158" s="452" t="s">
        <v>355</v>
      </c>
      <c r="C158" s="465" t="s">
        <v>37</v>
      </c>
      <c r="D158" s="507">
        <f>D154*地域経済性分析・初期条件!$Q$37</f>
        <v>0</v>
      </c>
      <c r="E158" s="507">
        <f>IF(E154&lt;0,0,E154*地域経済性分析・初期条件!$Q$38)</f>
        <v>0</v>
      </c>
      <c r="F158" s="507">
        <f>IF(F154&lt;0,0,F154*地域経済性分析・初期条件!$Q$38)</f>
        <v>0</v>
      </c>
      <c r="G158" s="507">
        <f>IF(G154&lt;0,0,G154*地域経済性分析・初期条件!$Q$38)</f>
        <v>0</v>
      </c>
      <c r="H158" s="507">
        <f>IF(H154&lt;0,0,H154*地域経済性分析・初期条件!$Q$38)</f>
        <v>0</v>
      </c>
      <c r="I158" s="507">
        <f>IF(I154&lt;0,0,I154*地域経済性分析・初期条件!$Q$38)</f>
        <v>0</v>
      </c>
      <c r="J158" s="507">
        <f>IF(J154&lt;0,0,J154*地域経済性分析・初期条件!$Q$38)</f>
        <v>0</v>
      </c>
      <c r="K158" s="507">
        <f>IF(K154&lt;0,0,K154*地域経済性分析・初期条件!$Q$38)</f>
        <v>0</v>
      </c>
      <c r="L158" s="507">
        <f>IF(L154&lt;0,0,L154*地域経済性分析・初期条件!$Q$38)</f>
        <v>0</v>
      </c>
      <c r="M158" s="507">
        <f>IF(M154&lt;0,0,M154*地域経済性分析・初期条件!$Q$38)</f>
        <v>0</v>
      </c>
      <c r="N158" s="507">
        <f>IF(N154&lt;0,0,N154*地域経済性分析・初期条件!$Q$38)</f>
        <v>0</v>
      </c>
      <c r="O158" s="507">
        <f>IF(O154&lt;0,0,O154*地域経済性分析・初期条件!$Q$38)</f>
        <v>0</v>
      </c>
      <c r="P158" s="507">
        <f>IF(P154&lt;0,0,P154*地域経済性分析・初期条件!$Q$38)</f>
        <v>0</v>
      </c>
      <c r="Q158" s="507">
        <f>IF(Q154&lt;0,0,Q154*地域経済性分析・初期条件!$Q$38)</f>
        <v>0</v>
      </c>
      <c r="R158" s="507">
        <f>IF(R154&lt;0,0,R154*地域経済性分析・初期条件!$Q$38)</f>
        <v>0</v>
      </c>
      <c r="S158" s="507">
        <f>IF(S154&lt;0,0,S154*地域経済性分析・初期条件!$Q$38)</f>
        <v>0</v>
      </c>
      <c r="T158" s="507">
        <f>IF(T154&lt;0,0,T154*地域経済性分析・初期条件!$Q$38)</f>
        <v>0</v>
      </c>
      <c r="U158" s="507">
        <f>IF(U154&lt;0,0,U154*地域経済性分析・初期条件!$Q$38)</f>
        <v>0</v>
      </c>
      <c r="V158" s="507">
        <f>IF(V154&lt;0,0,V154*地域経済性分析・初期条件!$Q$38)</f>
        <v>0</v>
      </c>
      <c r="W158" s="507">
        <f>IF(W154&lt;0,0,W154*地域経済性分析・初期条件!$Q$38)</f>
        <v>0</v>
      </c>
      <c r="X158" s="507">
        <f>IF(X154&lt;0,0,X154*地域経済性分析・初期条件!$Q$38)</f>
        <v>0</v>
      </c>
      <c r="Y158" s="507">
        <f>IF(Y154&lt;0,0,Y154*地域経済性分析・初期条件!$Q$38)</f>
        <v>0</v>
      </c>
      <c r="Z158" s="507">
        <f>IF(Z154&lt;0,0,Z154*地域経済性分析・初期条件!$Q$38)</f>
        <v>0</v>
      </c>
      <c r="AA158" s="507">
        <f>IF(AA154&lt;0,0,AA154*地域経済性分析・初期条件!$Q$38)</f>
        <v>0</v>
      </c>
      <c r="AB158" s="507">
        <f>IF(AB154&lt;0,0,AB154*地域経済性分析・初期条件!$Q$38)</f>
        <v>0</v>
      </c>
      <c r="AC158" s="507">
        <f>IF(AC154&lt;0,0,AC154*地域経済性分析・初期条件!$Q$38)</f>
        <v>0</v>
      </c>
      <c r="AD158" s="507">
        <f>IF(AD154&lt;0,0,AD154*地域経済性分析・初期条件!$Q$38)</f>
        <v>0</v>
      </c>
      <c r="AE158" s="507">
        <f>IF(AE154&lt;0,0,AE154*地域経済性分析・初期条件!$Q$38)</f>
        <v>0</v>
      </c>
      <c r="AF158" s="507">
        <f>IF(AF154&lt;0,0,AF154*地域経済性分析・初期条件!$Q$38)</f>
        <v>0</v>
      </c>
      <c r="AG158" s="507">
        <f>IF(AG154&lt;0,0,AG154*地域経済性分析・初期条件!$Q$38)</f>
        <v>0</v>
      </c>
      <c r="AH158" s="507">
        <f>IF(AH154&lt;0,0,AH154*地域経済性分析・初期条件!$Q$38)</f>
        <v>0</v>
      </c>
      <c r="AI158" s="548">
        <f t="shared" si="55"/>
        <v>0</v>
      </c>
      <c r="AJ158" s="548">
        <f t="shared" si="56"/>
        <v>0</v>
      </c>
      <c r="AK158" s="510">
        <f t="shared" si="57"/>
        <v>0</v>
      </c>
    </row>
    <row r="159" spans="1:37" ht="11.5" x14ac:dyDescent="0.25">
      <c r="A159" s="546" t="str">
        <f>A153&amp;B159</f>
        <v>0従業員の可処分所得（一次）</v>
      </c>
      <c r="B159" s="452" t="s">
        <v>339</v>
      </c>
      <c r="C159" s="464" t="s">
        <v>37</v>
      </c>
      <c r="D159" s="507">
        <f>D154*地域経済性分析・初期条件!$H$37</f>
        <v>0</v>
      </c>
      <c r="E159" s="507">
        <f>IF(E154&lt;0,0,E154*地域経済性分析・初期条件!$H$38)</f>
        <v>0</v>
      </c>
      <c r="F159" s="507">
        <f>IF(F154&lt;0,0,F154*地域経済性分析・初期条件!$H$38)</f>
        <v>0</v>
      </c>
      <c r="G159" s="507">
        <f>IF(G154&lt;0,0,G154*地域経済性分析・初期条件!$H$38)</f>
        <v>0</v>
      </c>
      <c r="H159" s="507">
        <f>IF(H154&lt;0,0,H154*地域経済性分析・初期条件!$H$38)</f>
        <v>0</v>
      </c>
      <c r="I159" s="507">
        <f>IF(I154&lt;0,0,I154*地域経済性分析・初期条件!$H$38)</f>
        <v>0</v>
      </c>
      <c r="J159" s="507">
        <f>IF(J154&lt;0,0,J154*地域経済性分析・初期条件!$H$38)</f>
        <v>0</v>
      </c>
      <c r="K159" s="507">
        <f>IF(K154&lt;0,0,K154*地域経済性分析・初期条件!$H$38)</f>
        <v>0</v>
      </c>
      <c r="L159" s="507">
        <f>IF(L154&lt;0,0,L154*地域経済性分析・初期条件!$H$38)</f>
        <v>0</v>
      </c>
      <c r="M159" s="507">
        <f>IF(M154&lt;0,0,M154*地域経済性分析・初期条件!$H$38)</f>
        <v>0</v>
      </c>
      <c r="N159" s="507">
        <f>IF(N154&lt;0,0,N154*地域経済性分析・初期条件!$H$38)</f>
        <v>0</v>
      </c>
      <c r="O159" s="507">
        <f>IF(O154&lt;0,0,O154*地域経済性分析・初期条件!$H$38)</f>
        <v>0</v>
      </c>
      <c r="P159" s="507">
        <f>IF(P154&lt;0,0,P154*地域経済性分析・初期条件!$H$38)</f>
        <v>0</v>
      </c>
      <c r="Q159" s="507">
        <f>IF(Q154&lt;0,0,Q154*地域経済性分析・初期条件!$H$38)</f>
        <v>0</v>
      </c>
      <c r="R159" s="507">
        <f>IF(R154&lt;0,0,R154*地域経済性分析・初期条件!$H$38)</f>
        <v>0</v>
      </c>
      <c r="S159" s="507">
        <f>IF(S154&lt;0,0,S154*地域経済性分析・初期条件!$H$38)</f>
        <v>0</v>
      </c>
      <c r="T159" s="507">
        <f>IF(T154&lt;0,0,T154*地域経済性分析・初期条件!$H$38)</f>
        <v>0</v>
      </c>
      <c r="U159" s="507">
        <f>IF(U154&lt;0,0,U154*地域経済性分析・初期条件!$H$38)</f>
        <v>0</v>
      </c>
      <c r="V159" s="507">
        <f>IF(V154&lt;0,0,V154*地域経済性分析・初期条件!$H$38)</f>
        <v>0</v>
      </c>
      <c r="W159" s="507">
        <f>IF(W154&lt;0,0,W154*地域経済性分析・初期条件!$H$38)</f>
        <v>0</v>
      </c>
      <c r="X159" s="507">
        <f>IF(X154&lt;0,0,X154*地域経済性分析・初期条件!$H$38)</f>
        <v>0</v>
      </c>
      <c r="Y159" s="507">
        <f>IF(Y154&lt;0,0,Y154*地域経済性分析・初期条件!$H$38)</f>
        <v>0</v>
      </c>
      <c r="Z159" s="507">
        <f>IF(Z154&lt;0,0,Z154*地域経済性分析・初期条件!$H$38)</f>
        <v>0</v>
      </c>
      <c r="AA159" s="507">
        <f>IF(AA154&lt;0,0,AA154*地域経済性分析・初期条件!$H$38)</f>
        <v>0</v>
      </c>
      <c r="AB159" s="507">
        <f>IF(AB154&lt;0,0,AB154*地域経済性分析・初期条件!$H$38)</f>
        <v>0</v>
      </c>
      <c r="AC159" s="507">
        <f>IF(AC154&lt;0,0,AC154*地域経済性分析・初期条件!$H$38)</f>
        <v>0</v>
      </c>
      <c r="AD159" s="507">
        <f>IF(AD154&lt;0,0,AD154*地域経済性分析・初期条件!$H$38)</f>
        <v>0</v>
      </c>
      <c r="AE159" s="507">
        <f>IF(AE154&lt;0,0,AE154*地域経済性分析・初期条件!$H$38)</f>
        <v>0</v>
      </c>
      <c r="AF159" s="507">
        <f>IF(AF154&lt;0,0,AF154*地域経済性分析・初期条件!$H$38)</f>
        <v>0</v>
      </c>
      <c r="AG159" s="507">
        <f>IF(AG154&lt;0,0,AG154*地域経済性分析・初期条件!$H$38)</f>
        <v>0</v>
      </c>
      <c r="AH159" s="507">
        <f>IF(AH154&lt;0,0,AH154*地域経済性分析・初期条件!$H$38)</f>
        <v>0</v>
      </c>
      <c r="AI159" s="548">
        <f t="shared" si="55"/>
        <v>0</v>
      </c>
      <c r="AJ159" s="548">
        <f t="shared" si="56"/>
        <v>0</v>
      </c>
      <c r="AK159" s="510">
        <f t="shared" si="57"/>
        <v>0</v>
      </c>
    </row>
    <row r="160" spans="1:37" ht="11.5" x14ac:dyDescent="0.25">
      <c r="A160" s="546" t="str">
        <f>A153&amp;B160</f>
        <v>0企業の税引後利益（一次）</v>
      </c>
      <c r="B160" s="452" t="s">
        <v>340</v>
      </c>
      <c r="C160" s="464" t="s">
        <v>37</v>
      </c>
      <c r="D160" s="507">
        <f>D154*地域経済性分析・初期条件!$I$37</f>
        <v>0</v>
      </c>
      <c r="E160" s="507">
        <f>IF(E154&lt;0,0,E154*地域経済性分析・初期条件!$I$38)</f>
        <v>0</v>
      </c>
      <c r="F160" s="507">
        <f>IF(F154&lt;0,0,F154*地域経済性分析・初期条件!$I$38)</f>
        <v>0</v>
      </c>
      <c r="G160" s="507">
        <f>IF(G154&lt;0,0,G154*地域経済性分析・初期条件!$I$38)</f>
        <v>0</v>
      </c>
      <c r="H160" s="507">
        <f>IF(H154&lt;0,0,H154*地域経済性分析・初期条件!$I$38)</f>
        <v>0</v>
      </c>
      <c r="I160" s="507">
        <f>IF(I154&lt;0,0,I154*地域経済性分析・初期条件!$I$38)</f>
        <v>0</v>
      </c>
      <c r="J160" s="507">
        <f>IF(J154&lt;0,0,J154*地域経済性分析・初期条件!$I$38)</f>
        <v>0</v>
      </c>
      <c r="K160" s="507">
        <f>IF(K154&lt;0,0,K154*地域経済性分析・初期条件!$I$38)</f>
        <v>0</v>
      </c>
      <c r="L160" s="507">
        <f>IF(L154&lt;0,0,L154*地域経済性分析・初期条件!$I$38)</f>
        <v>0</v>
      </c>
      <c r="M160" s="507">
        <f>IF(M154&lt;0,0,M154*地域経済性分析・初期条件!$I$38)</f>
        <v>0</v>
      </c>
      <c r="N160" s="507">
        <f>IF(N154&lt;0,0,N154*地域経済性分析・初期条件!$I$38)</f>
        <v>0</v>
      </c>
      <c r="O160" s="507">
        <f>IF(O154&lt;0,0,O154*地域経済性分析・初期条件!$I$38)</f>
        <v>0</v>
      </c>
      <c r="P160" s="507">
        <f>IF(P154&lt;0,0,P154*地域経済性分析・初期条件!$I$38)</f>
        <v>0</v>
      </c>
      <c r="Q160" s="507">
        <f>IF(Q154&lt;0,0,Q154*地域経済性分析・初期条件!$I$38)</f>
        <v>0</v>
      </c>
      <c r="R160" s="507">
        <f>IF(R154&lt;0,0,R154*地域経済性分析・初期条件!$I$38)</f>
        <v>0</v>
      </c>
      <c r="S160" s="507">
        <f>IF(S154&lt;0,0,S154*地域経済性分析・初期条件!$I$38)</f>
        <v>0</v>
      </c>
      <c r="T160" s="507">
        <f>IF(T154&lt;0,0,T154*地域経済性分析・初期条件!$I$38)</f>
        <v>0</v>
      </c>
      <c r="U160" s="507">
        <f>IF(U154&lt;0,0,U154*地域経済性分析・初期条件!$I$38)</f>
        <v>0</v>
      </c>
      <c r="V160" s="507">
        <f>IF(V154&lt;0,0,V154*地域経済性分析・初期条件!$I$38)</f>
        <v>0</v>
      </c>
      <c r="W160" s="507">
        <f>IF(W154&lt;0,0,W154*地域経済性分析・初期条件!$I$38)</f>
        <v>0</v>
      </c>
      <c r="X160" s="507">
        <f>IF(X154&lt;0,0,X154*地域経済性分析・初期条件!$I$38)</f>
        <v>0</v>
      </c>
      <c r="Y160" s="507">
        <f>IF(Y154&lt;0,0,Y154*地域経済性分析・初期条件!$I$38)</f>
        <v>0</v>
      </c>
      <c r="Z160" s="507">
        <f>IF(Z154&lt;0,0,Z154*地域経済性分析・初期条件!$I$38)</f>
        <v>0</v>
      </c>
      <c r="AA160" s="507">
        <f>IF(AA154&lt;0,0,AA154*地域経済性分析・初期条件!$I$38)</f>
        <v>0</v>
      </c>
      <c r="AB160" s="507">
        <f>IF(AB154&lt;0,0,AB154*地域経済性分析・初期条件!$I$38)</f>
        <v>0</v>
      </c>
      <c r="AC160" s="507">
        <f>IF(AC154&lt;0,0,AC154*地域経済性分析・初期条件!$I$38)</f>
        <v>0</v>
      </c>
      <c r="AD160" s="507">
        <f>IF(AD154&lt;0,0,AD154*地域経済性分析・初期条件!$I$38)</f>
        <v>0</v>
      </c>
      <c r="AE160" s="507">
        <f>IF(AE154&lt;0,0,AE154*地域経済性分析・初期条件!$I$38)</f>
        <v>0</v>
      </c>
      <c r="AF160" s="507">
        <f>IF(AF154&lt;0,0,AF154*地域経済性分析・初期条件!$I$38)</f>
        <v>0</v>
      </c>
      <c r="AG160" s="507">
        <f>IF(AG154&lt;0,0,AG154*地域経済性分析・初期条件!$I$38)</f>
        <v>0</v>
      </c>
      <c r="AH160" s="507">
        <f>IF(AH154&lt;0,0,AH154*地域経済性分析・初期条件!$I$38)</f>
        <v>0</v>
      </c>
      <c r="AI160" s="548">
        <f t="shared" si="55"/>
        <v>0</v>
      </c>
      <c r="AJ160" s="548">
        <f t="shared" si="56"/>
        <v>0</v>
      </c>
      <c r="AK160" s="510">
        <f t="shared" si="57"/>
        <v>0</v>
      </c>
    </row>
    <row r="161" spans="1:37" ht="11.5" x14ac:dyDescent="0.25">
      <c r="A161" s="546" t="str">
        <f>A153&amp;B161</f>
        <v>0都道府県税収（一次）</v>
      </c>
      <c r="B161" s="452" t="s">
        <v>341</v>
      </c>
      <c r="C161" s="464" t="s">
        <v>37</v>
      </c>
      <c r="D161" s="507">
        <f>D154*地域経済性分析・初期条件!$J$37</f>
        <v>0</v>
      </c>
      <c r="E161" s="507">
        <f>IF(E154&lt;0,0,E154*地域経済性分析・初期条件!$J$38)</f>
        <v>0</v>
      </c>
      <c r="F161" s="507">
        <f>IF(F154&lt;0,0,F154*地域経済性分析・初期条件!$J$38)</f>
        <v>0</v>
      </c>
      <c r="G161" s="507">
        <f>IF(G154&lt;0,0,G154*地域経済性分析・初期条件!$J$38)</f>
        <v>0</v>
      </c>
      <c r="H161" s="507">
        <f>IF(H154&lt;0,0,H154*地域経済性分析・初期条件!$J$38)</f>
        <v>0</v>
      </c>
      <c r="I161" s="507">
        <f>IF(I154&lt;0,0,I154*地域経済性分析・初期条件!$J$38)</f>
        <v>0</v>
      </c>
      <c r="J161" s="507">
        <f>IF(J154&lt;0,0,J154*地域経済性分析・初期条件!$J$38)</f>
        <v>0</v>
      </c>
      <c r="K161" s="507">
        <f>IF(K154&lt;0,0,K154*地域経済性分析・初期条件!$J$38)</f>
        <v>0</v>
      </c>
      <c r="L161" s="507">
        <f>IF(L154&lt;0,0,L154*地域経済性分析・初期条件!$J$38)</f>
        <v>0</v>
      </c>
      <c r="M161" s="507">
        <f>IF(M154&lt;0,0,M154*地域経済性分析・初期条件!$J$38)</f>
        <v>0</v>
      </c>
      <c r="N161" s="507">
        <f>IF(N154&lt;0,0,N154*地域経済性分析・初期条件!$J$38)</f>
        <v>0</v>
      </c>
      <c r="O161" s="507">
        <f>IF(O154&lt;0,0,O154*地域経済性分析・初期条件!$J$38)</f>
        <v>0</v>
      </c>
      <c r="P161" s="507">
        <f>IF(P154&lt;0,0,P154*地域経済性分析・初期条件!$J$38)</f>
        <v>0</v>
      </c>
      <c r="Q161" s="507">
        <f>IF(Q154&lt;0,0,Q154*地域経済性分析・初期条件!$J$38)</f>
        <v>0</v>
      </c>
      <c r="R161" s="507">
        <f>IF(R154&lt;0,0,R154*地域経済性分析・初期条件!$J$38)</f>
        <v>0</v>
      </c>
      <c r="S161" s="507">
        <f>IF(S154&lt;0,0,S154*地域経済性分析・初期条件!$J$38)</f>
        <v>0</v>
      </c>
      <c r="T161" s="507">
        <f>IF(T154&lt;0,0,T154*地域経済性分析・初期条件!$J$38)</f>
        <v>0</v>
      </c>
      <c r="U161" s="507">
        <f>IF(U154&lt;0,0,U154*地域経済性分析・初期条件!$J$38)</f>
        <v>0</v>
      </c>
      <c r="V161" s="507">
        <f>IF(V154&lt;0,0,V154*地域経済性分析・初期条件!$J$38)</f>
        <v>0</v>
      </c>
      <c r="W161" s="507">
        <f>IF(W154&lt;0,0,W154*地域経済性分析・初期条件!$J$38)</f>
        <v>0</v>
      </c>
      <c r="X161" s="507">
        <f>IF(X154&lt;0,0,X154*地域経済性分析・初期条件!$J$38)</f>
        <v>0</v>
      </c>
      <c r="Y161" s="507">
        <f>IF(Y154&lt;0,0,Y154*地域経済性分析・初期条件!$J$38)</f>
        <v>0</v>
      </c>
      <c r="Z161" s="507">
        <f>IF(Z154&lt;0,0,Z154*地域経済性分析・初期条件!$J$38)</f>
        <v>0</v>
      </c>
      <c r="AA161" s="507">
        <f>IF(AA154&lt;0,0,AA154*地域経済性分析・初期条件!$J$38)</f>
        <v>0</v>
      </c>
      <c r="AB161" s="507">
        <f>IF(AB154&lt;0,0,AB154*地域経済性分析・初期条件!$J$38)</f>
        <v>0</v>
      </c>
      <c r="AC161" s="507">
        <f>IF(AC154&lt;0,0,AC154*地域経済性分析・初期条件!$J$38)</f>
        <v>0</v>
      </c>
      <c r="AD161" s="507">
        <f>IF(AD154&lt;0,0,AD154*地域経済性分析・初期条件!$J$38)</f>
        <v>0</v>
      </c>
      <c r="AE161" s="507">
        <f>IF(AE154&lt;0,0,AE154*地域経済性分析・初期条件!$J$38)</f>
        <v>0</v>
      </c>
      <c r="AF161" s="507">
        <f>IF(AF154&lt;0,0,AF154*地域経済性分析・初期条件!$J$38)</f>
        <v>0</v>
      </c>
      <c r="AG161" s="507">
        <f>IF(AG154&lt;0,0,AG154*地域経済性分析・初期条件!$J$38)</f>
        <v>0</v>
      </c>
      <c r="AH161" s="507">
        <f>IF(AH154&lt;0,0,AH154*地域経済性分析・初期条件!$J$38)</f>
        <v>0</v>
      </c>
      <c r="AI161" s="548">
        <f t="shared" si="55"/>
        <v>0</v>
      </c>
      <c r="AJ161" s="548">
        <f t="shared" si="56"/>
        <v>0</v>
      </c>
      <c r="AK161" s="510">
        <f t="shared" si="57"/>
        <v>0</v>
      </c>
    </row>
    <row r="162" spans="1:37" ht="11.5" x14ac:dyDescent="0.25">
      <c r="A162" s="546" t="str">
        <f>A153&amp;B162</f>
        <v>0市町村税収（一次）</v>
      </c>
      <c r="B162" s="452" t="s">
        <v>342</v>
      </c>
      <c r="C162" s="465" t="s">
        <v>37</v>
      </c>
      <c r="D162" s="507">
        <f>D154*地域経済性分析・初期条件!$K$37</f>
        <v>0</v>
      </c>
      <c r="E162" s="507">
        <f>IF(E154&lt;0,0,E154*地域経済性分析・初期条件!$K$38)</f>
        <v>0</v>
      </c>
      <c r="F162" s="507">
        <f>IF(F154&lt;0,0,F154*地域経済性分析・初期条件!$K$38)</f>
        <v>0</v>
      </c>
      <c r="G162" s="507">
        <f>IF(G154&lt;0,0,G154*地域経済性分析・初期条件!$K$38)</f>
        <v>0</v>
      </c>
      <c r="H162" s="507">
        <f>IF(H154&lt;0,0,H154*地域経済性分析・初期条件!$K$38)</f>
        <v>0</v>
      </c>
      <c r="I162" s="507">
        <f>IF(I154&lt;0,0,I154*地域経済性分析・初期条件!$K$38)</f>
        <v>0</v>
      </c>
      <c r="J162" s="507">
        <f>IF(J154&lt;0,0,J154*地域経済性分析・初期条件!$K$38)</f>
        <v>0</v>
      </c>
      <c r="K162" s="507">
        <f>IF(K154&lt;0,0,K154*地域経済性分析・初期条件!$K$38)</f>
        <v>0</v>
      </c>
      <c r="L162" s="507">
        <f>IF(L154&lt;0,0,L154*地域経済性分析・初期条件!$K$38)</f>
        <v>0</v>
      </c>
      <c r="M162" s="507">
        <f>IF(M154&lt;0,0,M154*地域経済性分析・初期条件!$K$38)</f>
        <v>0</v>
      </c>
      <c r="N162" s="507">
        <f>IF(N154&lt;0,0,N154*地域経済性分析・初期条件!$K$38)</f>
        <v>0</v>
      </c>
      <c r="O162" s="507">
        <f>IF(O154&lt;0,0,O154*地域経済性分析・初期条件!$K$38)</f>
        <v>0</v>
      </c>
      <c r="P162" s="507">
        <f>IF(P154&lt;0,0,P154*地域経済性分析・初期条件!$K$38)</f>
        <v>0</v>
      </c>
      <c r="Q162" s="507">
        <f>IF(Q154&lt;0,0,Q154*地域経済性分析・初期条件!$K$38)</f>
        <v>0</v>
      </c>
      <c r="R162" s="507">
        <f>IF(R154&lt;0,0,R154*地域経済性分析・初期条件!$K$38)</f>
        <v>0</v>
      </c>
      <c r="S162" s="507">
        <f>IF(S154&lt;0,0,S154*地域経済性分析・初期条件!$K$38)</f>
        <v>0</v>
      </c>
      <c r="T162" s="507">
        <f>IF(T154&lt;0,0,T154*地域経済性分析・初期条件!$K$38)</f>
        <v>0</v>
      </c>
      <c r="U162" s="507">
        <f>IF(U154&lt;0,0,U154*地域経済性分析・初期条件!$K$38)</f>
        <v>0</v>
      </c>
      <c r="V162" s="507">
        <f>IF(V154&lt;0,0,V154*地域経済性分析・初期条件!$K$38)</f>
        <v>0</v>
      </c>
      <c r="W162" s="507">
        <f>IF(W154&lt;0,0,W154*地域経済性分析・初期条件!$K$38)</f>
        <v>0</v>
      </c>
      <c r="X162" s="507">
        <f>IF(X154&lt;0,0,X154*地域経済性分析・初期条件!$K$38)</f>
        <v>0</v>
      </c>
      <c r="Y162" s="507">
        <f>IF(Y154&lt;0,0,Y154*地域経済性分析・初期条件!$K$38)</f>
        <v>0</v>
      </c>
      <c r="Z162" s="507">
        <f>IF(Z154&lt;0,0,Z154*地域経済性分析・初期条件!$K$38)</f>
        <v>0</v>
      </c>
      <c r="AA162" s="507">
        <f>IF(AA154&lt;0,0,AA154*地域経済性分析・初期条件!$K$38)</f>
        <v>0</v>
      </c>
      <c r="AB162" s="507">
        <f>IF(AB154&lt;0,0,AB154*地域経済性分析・初期条件!$K$38)</f>
        <v>0</v>
      </c>
      <c r="AC162" s="507">
        <f>IF(AC154&lt;0,0,AC154*地域経済性分析・初期条件!$K$38)</f>
        <v>0</v>
      </c>
      <c r="AD162" s="507">
        <f>IF(AD154&lt;0,0,AD154*地域経済性分析・初期条件!$K$38)</f>
        <v>0</v>
      </c>
      <c r="AE162" s="507">
        <f>IF(AE154&lt;0,0,AE154*地域経済性分析・初期条件!$K$38)</f>
        <v>0</v>
      </c>
      <c r="AF162" s="507">
        <f>IF(AF154&lt;0,0,AF154*地域経済性分析・初期条件!$K$38)</f>
        <v>0</v>
      </c>
      <c r="AG162" s="507">
        <f>IF(AG154&lt;0,0,AG154*地域経済性分析・初期条件!$K$38)</f>
        <v>0</v>
      </c>
      <c r="AH162" s="507">
        <f>IF(AH154&lt;0,0,AH154*地域経済性分析・初期条件!$K$38)</f>
        <v>0</v>
      </c>
      <c r="AI162" s="548">
        <f t="shared" si="55"/>
        <v>0</v>
      </c>
      <c r="AJ162" s="548">
        <f t="shared" si="56"/>
        <v>0</v>
      </c>
      <c r="AK162" s="510">
        <f t="shared" si="57"/>
        <v>0</v>
      </c>
    </row>
    <row r="163" spans="1:37" ht="11.5" x14ac:dyDescent="0.25">
      <c r="A163" s="546" t="str">
        <f>A153&amp;B163</f>
        <v>0従業員の可処分所得（二次以降）</v>
      </c>
      <c r="B163" s="452" t="s">
        <v>344</v>
      </c>
      <c r="C163" s="465" t="s">
        <v>37</v>
      </c>
      <c r="D163" s="507">
        <f>D154*地域経済性分析・初期条件!$L$37</f>
        <v>0</v>
      </c>
      <c r="E163" s="507">
        <f>IF(E154&lt;0,0,E154*地域経済性分析・初期条件!$L$38)</f>
        <v>0</v>
      </c>
      <c r="F163" s="507">
        <f>IF(F154&lt;0,0,F154*地域経済性分析・初期条件!$L$38)</f>
        <v>0</v>
      </c>
      <c r="G163" s="507">
        <f>IF(G154&lt;0,0,G154*地域経済性分析・初期条件!$L$38)</f>
        <v>0</v>
      </c>
      <c r="H163" s="507">
        <f>IF(H154&lt;0,0,H154*地域経済性分析・初期条件!$L$38)</f>
        <v>0</v>
      </c>
      <c r="I163" s="507">
        <f>IF(I154&lt;0,0,I154*地域経済性分析・初期条件!$L$38)</f>
        <v>0</v>
      </c>
      <c r="J163" s="507">
        <f>IF(J154&lt;0,0,J154*地域経済性分析・初期条件!$L$38)</f>
        <v>0</v>
      </c>
      <c r="K163" s="507">
        <f>IF(K154&lt;0,0,K154*地域経済性分析・初期条件!$L$38)</f>
        <v>0</v>
      </c>
      <c r="L163" s="507">
        <f>IF(L154&lt;0,0,L154*地域経済性分析・初期条件!$L$38)</f>
        <v>0</v>
      </c>
      <c r="M163" s="507">
        <f>IF(M154&lt;0,0,M154*地域経済性分析・初期条件!$L$38)</f>
        <v>0</v>
      </c>
      <c r="N163" s="507">
        <f>IF(N154&lt;0,0,N154*地域経済性分析・初期条件!$L$38)</f>
        <v>0</v>
      </c>
      <c r="O163" s="507">
        <f>IF(O154&lt;0,0,O154*地域経済性分析・初期条件!$L$38)</f>
        <v>0</v>
      </c>
      <c r="P163" s="507">
        <f>IF(P154&lt;0,0,P154*地域経済性分析・初期条件!$L$38)</f>
        <v>0</v>
      </c>
      <c r="Q163" s="507">
        <f>IF(Q154&lt;0,0,Q154*地域経済性分析・初期条件!$L$38)</f>
        <v>0</v>
      </c>
      <c r="R163" s="507">
        <f>IF(R154&lt;0,0,R154*地域経済性分析・初期条件!$L$38)</f>
        <v>0</v>
      </c>
      <c r="S163" s="507">
        <f>IF(S154&lt;0,0,S154*地域経済性分析・初期条件!$L$38)</f>
        <v>0</v>
      </c>
      <c r="T163" s="507">
        <f>IF(T154&lt;0,0,T154*地域経済性分析・初期条件!$L$38)</f>
        <v>0</v>
      </c>
      <c r="U163" s="507">
        <f>IF(U154&lt;0,0,U154*地域経済性分析・初期条件!$L$38)</f>
        <v>0</v>
      </c>
      <c r="V163" s="507">
        <f>IF(V154&lt;0,0,V154*地域経済性分析・初期条件!$L$38)</f>
        <v>0</v>
      </c>
      <c r="W163" s="507">
        <f>IF(W154&lt;0,0,W154*地域経済性分析・初期条件!$L$38)</f>
        <v>0</v>
      </c>
      <c r="X163" s="507">
        <f>IF(X154&lt;0,0,X154*地域経済性分析・初期条件!$L$38)</f>
        <v>0</v>
      </c>
      <c r="Y163" s="507">
        <f>IF(Y154&lt;0,0,Y154*地域経済性分析・初期条件!$L$38)</f>
        <v>0</v>
      </c>
      <c r="Z163" s="507">
        <f>IF(Z154&lt;0,0,Z154*地域経済性分析・初期条件!$L$38)</f>
        <v>0</v>
      </c>
      <c r="AA163" s="507">
        <f>IF(AA154&lt;0,0,AA154*地域経済性分析・初期条件!$L$38)</f>
        <v>0</v>
      </c>
      <c r="AB163" s="507">
        <f>IF(AB154&lt;0,0,AB154*地域経済性分析・初期条件!$L$38)</f>
        <v>0</v>
      </c>
      <c r="AC163" s="507">
        <f>IF(AC154&lt;0,0,AC154*地域経済性分析・初期条件!$L$38)</f>
        <v>0</v>
      </c>
      <c r="AD163" s="507">
        <f>IF(AD154&lt;0,0,AD154*地域経済性分析・初期条件!$L$38)</f>
        <v>0</v>
      </c>
      <c r="AE163" s="507">
        <f>IF(AE154&lt;0,0,AE154*地域経済性分析・初期条件!$L$38)</f>
        <v>0</v>
      </c>
      <c r="AF163" s="507">
        <f>IF(AF154&lt;0,0,AF154*地域経済性分析・初期条件!$L$38)</f>
        <v>0</v>
      </c>
      <c r="AG163" s="507">
        <f>IF(AG154&lt;0,0,AG154*地域経済性分析・初期条件!$L$38)</f>
        <v>0</v>
      </c>
      <c r="AH163" s="507">
        <f>IF(AH154&lt;0,0,AH154*地域経済性分析・初期条件!$L$38)</f>
        <v>0</v>
      </c>
      <c r="AI163" s="548">
        <f>SUM(D163:N163)</f>
        <v>0</v>
      </c>
      <c r="AJ163" s="548">
        <f>SUM(D163:X163)</f>
        <v>0</v>
      </c>
      <c r="AK163" s="510">
        <f>SUM(D163:AH163)</f>
        <v>0</v>
      </c>
    </row>
    <row r="164" spans="1:37" ht="11.5" x14ac:dyDescent="0.25">
      <c r="A164" s="546" t="str">
        <f>A153&amp;B164</f>
        <v>0企業の税引後利益（二次以降）</v>
      </c>
      <c r="B164" s="452" t="s">
        <v>345</v>
      </c>
      <c r="C164" s="465" t="s">
        <v>37</v>
      </c>
      <c r="D164" s="507">
        <f>D154*地域経済性分析・初期条件!$M$37</f>
        <v>0</v>
      </c>
      <c r="E164" s="507">
        <f>IF(E154&lt;0,0,E154*地域経済性分析・初期条件!$M$38)</f>
        <v>0</v>
      </c>
      <c r="F164" s="507">
        <f>IF(F154&lt;0,0,F154*地域経済性分析・初期条件!$M$38)</f>
        <v>0</v>
      </c>
      <c r="G164" s="507">
        <f>IF(G154&lt;0,0,G154*地域経済性分析・初期条件!$M$38)</f>
        <v>0</v>
      </c>
      <c r="H164" s="507">
        <f>IF(H154&lt;0,0,H154*地域経済性分析・初期条件!$M$38)</f>
        <v>0</v>
      </c>
      <c r="I164" s="507">
        <f>IF(I154&lt;0,0,I154*地域経済性分析・初期条件!$M$38)</f>
        <v>0</v>
      </c>
      <c r="J164" s="507">
        <f>IF(J154&lt;0,0,J154*地域経済性分析・初期条件!$M$38)</f>
        <v>0</v>
      </c>
      <c r="K164" s="507">
        <f>IF(K154&lt;0,0,K154*地域経済性分析・初期条件!$M$38)</f>
        <v>0</v>
      </c>
      <c r="L164" s="507">
        <f>IF(L154&lt;0,0,L154*地域経済性分析・初期条件!$M$38)</f>
        <v>0</v>
      </c>
      <c r="M164" s="507">
        <f>IF(M154&lt;0,0,M154*地域経済性分析・初期条件!$M$38)</f>
        <v>0</v>
      </c>
      <c r="N164" s="507">
        <f>IF(N154&lt;0,0,N154*地域経済性分析・初期条件!$M$38)</f>
        <v>0</v>
      </c>
      <c r="O164" s="507">
        <f>IF(O154&lt;0,0,O154*地域経済性分析・初期条件!$M$38)</f>
        <v>0</v>
      </c>
      <c r="P164" s="507">
        <f>IF(P154&lt;0,0,P154*地域経済性分析・初期条件!$M$38)</f>
        <v>0</v>
      </c>
      <c r="Q164" s="507">
        <f>IF(Q154&lt;0,0,Q154*地域経済性分析・初期条件!$M$38)</f>
        <v>0</v>
      </c>
      <c r="R164" s="507">
        <f>IF(R154&lt;0,0,R154*地域経済性分析・初期条件!$M$38)</f>
        <v>0</v>
      </c>
      <c r="S164" s="507">
        <f>IF(S154&lt;0,0,S154*地域経済性分析・初期条件!$M$38)</f>
        <v>0</v>
      </c>
      <c r="T164" s="507">
        <f>IF(T154&lt;0,0,T154*地域経済性分析・初期条件!$M$38)</f>
        <v>0</v>
      </c>
      <c r="U164" s="507">
        <f>IF(U154&lt;0,0,U154*地域経済性分析・初期条件!$M$38)</f>
        <v>0</v>
      </c>
      <c r="V164" s="507">
        <f>IF(V154&lt;0,0,V154*地域経済性分析・初期条件!$M$38)</f>
        <v>0</v>
      </c>
      <c r="W164" s="507">
        <f>IF(W154&lt;0,0,W154*地域経済性分析・初期条件!$M$38)</f>
        <v>0</v>
      </c>
      <c r="X164" s="507">
        <f>IF(X154&lt;0,0,X154*地域経済性分析・初期条件!$M$38)</f>
        <v>0</v>
      </c>
      <c r="Y164" s="507">
        <f>IF(Y154&lt;0,0,Y154*地域経済性分析・初期条件!$M$38)</f>
        <v>0</v>
      </c>
      <c r="Z164" s="507">
        <f>IF(Z154&lt;0,0,Z154*地域経済性分析・初期条件!$M$38)</f>
        <v>0</v>
      </c>
      <c r="AA164" s="507">
        <f>IF(AA154&lt;0,0,AA154*地域経済性分析・初期条件!$M$38)</f>
        <v>0</v>
      </c>
      <c r="AB164" s="507">
        <f>IF(AB154&lt;0,0,AB154*地域経済性分析・初期条件!$M$38)</f>
        <v>0</v>
      </c>
      <c r="AC164" s="507">
        <f>IF(AC154&lt;0,0,AC154*地域経済性分析・初期条件!$M$38)</f>
        <v>0</v>
      </c>
      <c r="AD164" s="507">
        <f>IF(AD154&lt;0,0,AD154*地域経済性分析・初期条件!$M$38)</f>
        <v>0</v>
      </c>
      <c r="AE164" s="507">
        <f>IF(AE154&lt;0,0,AE154*地域経済性分析・初期条件!$M$38)</f>
        <v>0</v>
      </c>
      <c r="AF164" s="507">
        <f>IF(AF154&lt;0,0,AF154*地域経済性分析・初期条件!$M$38)</f>
        <v>0</v>
      </c>
      <c r="AG164" s="507">
        <f>IF(AG154&lt;0,0,AG154*地域経済性分析・初期条件!$M$38)</f>
        <v>0</v>
      </c>
      <c r="AH164" s="507">
        <f>IF(AH154&lt;0,0,AH154*地域経済性分析・初期条件!$M$38)</f>
        <v>0</v>
      </c>
      <c r="AI164" s="548">
        <f>SUM(D164:N164)</f>
        <v>0</v>
      </c>
      <c r="AJ164" s="548">
        <f>SUM(D164:X164)</f>
        <v>0</v>
      </c>
      <c r="AK164" s="510">
        <f>SUM(D164:AH164)</f>
        <v>0</v>
      </c>
    </row>
    <row r="165" spans="1:37" ht="11.5" x14ac:dyDescent="0.25">
      <c r="A165" s="546" t="str">
        <f>A153&amp;B165</f>
        <v>0都道府県税収（二次以降）</v>
      </c>
      <c r="B165" s="452" t="s">
        <v>346</v>
      </c>
      <c r="C165" s="465" t="s">
        <v>37</v>
      </c>
      <c r="D165" s="507">
        <f>D154*地域経済性分析・初期条件!$N$37</f>
        <v>0</v>
      </c>
      <c r="E165" s="507">
        <f>IF(E154&lt;0,0,E154*地域経済性分析・初期条件!$N$38)</f>
        <v>0</v>
      </c>
      <c r="F165" s="507">
        <f>IF(F154&lt;0,0,F154*地域経済性分析・初期条件!$N$38)</f>
        <v>0</v>
      </c>
      <c r="G165" s="507">
        <f>IF(G154&lt;0,0,G154*地域経済性分析・初期条件!$N$38)</f>
        <v>0</v>
      </c>
      <c r="H165" s="507">
        <f>IF(H154&lt;0,0,H154*地域経済性分析・初期条件!$N$38)</f>
        <v>0</v>
      </c>
      <c r="I165" s="507">
        <f>IF(I154&lt;0,0,I154*地域経済性分析・初期条件!$N$38)</f>
        <v>0</v>
      </c>
      <c r="J165" s="507">
        <f>IF(J154&lt;0,0,J154*地域経済性分析・初期条件!$N$38)</f>
        <v>0</v>
      </c>
      <c r="K165" s="507">
        <f>IF(K154&lt;0,0,K154*地域経済性分析・初期条件!$N$38)</f>
        <v>0</v>
      </c>
      <c r="L165" s="507">
        <f>IF(L154&lt;0,0,L154*地域経済性分析・初期条件!$N$38)</f>
        <v>0</v>
      </c>
      <c r="M165" s="507">
        <f>IF(M154&lt;0,0,M154*地域経済性分析・初期条件!$N$38)</f>
        <v>0</v>
      </c>
      <c r="N165" s="507">
        <f>IF(N154&lt;0,0,N154*地域経済性分析・初期条件!$N$38)</f>
        <v>0</v>
      </c>
      <c r="O165" s="507">
        <f>IF(O154&lt;0,0,O154*地域経済性分析・初期条件!$N$38)</f>
        <v>0</v>
      </c>
      <c r="P165" s="507">
        <f>IF(P154&lt;0,0,P154*地域経済性分析・初期条件!$N$38)</f>
        <v>0</v>
      </c>
      <c r="Q165" s="507">
        <f>IF(Q154&lt;0,0,Q154*地域経済性分析・初期条件!$N$38)</f>
        <v>0</v>
      </c>
      <c r="R165" s="507">
        <f>IF(R154&lt;0,0,R154*地域経済性分析・初期条件!$N$38)</f>
        <v>0</v>
      </c>
      <c r="S165" s="507">
        <f>IF(S154&lt;0,0,S154*地域経済性分析・初期条件!$N$38)</f>
        <v>0</v>
      </c>
      <c r="T165" s="507">
        <f>IF(T154&lt;0,0,T154*地域経済性分析・初期条件!$N$38)</f>
        <v>0</v>
      </c>
      <c r="U165" s="507">
        <f>IF(U154&lt;0,0,U154*地域経済性分析・初期条件!$N$38)</f>
        <v>0</v>
      </c>
      <c r="V165" s="507">
        <f>IF(V154&lt;0,0,V154*地域経済性分析・初期条件!$N$38)</f>
        <v>0</v>
      </c>
      <c r="W165" s="507">
        <f>IF(W154&lt;0,0,W154*地域経済性分析・初期条件!$N$38)</f>
        <v>0</v>
      </c>
      <c r="X165" s="507">
        <f>IF(X154&lt;0,0,X154*地域経済性分析・初期条件!$N$38)</f>
        <v>0</v>
      </c>
      <c r="Y165" s="507">
        <f>IF(Y154&lt;0,0,Y154*地域経済性分析・初期条件!$N$38)</f>
        <v>0</v>
      </c>
      <c r="Z165" s="507">
        <f>IF(Z154&lt;0,0,Z154*地域経済性分析・初期条件!$N$38)</f>
        <v>0</v>
      </c>
      <c r="AA165" s="507">
        <f>IF(AA154&lt;0,0,AA154*地域経済性分析・初期条件!$N$38)</f>
        <v>0</v>
      </c>
      <c r="AB165" s="507">
        <f>IF(AB154&lt;0,0,AB154*地域経済性分析・初期条件!$N$38)</f>
        <v>0</v>
      </c>
      <c r="AC165" s="507">
        <f>IF(AC154&lt;0,0,AC154*地域経済性分析・初期条件!$N$38)</f>
        <v>0</v>
      </c>
      <c r="AD165" s="507">
        <f>IF(AD154&lt;0,0,AD154*地域経済性分析・初期条件!$N$38)</f>
        <v>0</v>
      </c>
      <c r="AE165" s="507">
        <f>IF(AE154&lt;0,0,AE154*地域経済性分析・初期条件!$N$38)</f>
        <v>0</v>
      </c>
      <c r="AF165" s="507">
        <f>IF(AF154&lt;0,0,AF154*地域経済性分析・初期条件!$N$38)</f>
        <v>0</v>
      </c>
      <c r="AG165" s="507">
        <f>IF(AG154&lt;0,0,AG154*地域経済性分析・初期条件!$N$38)</f>
        <v>0</v>
      </c>
      <c r="AH165" s="507">
        <f>IF(AH154&lt;0,0,AH154*地域経済性分析・初期条件!$N$38)</f>
        <v>0</v>
      </c>
      <c r="AI165" s="548">
        <f>SUM(D165:N165)</f>
        <v>0</v>
      </c>
      <c r="AJ165" s="548">
        <f>SUM(D165:X165)</f>
        <v>0</v>
      </c>
      <c r="AK165" s="510">
        <f>SUM(D165:AH165)</f>
        <v>0</v>
      </c>
    </row>
    <row r="166" spans="1:37" ht="11.5" x14ac:dyDescent="0.25">
      <c r="A166" s="546" t="str">
        <f>A153&amp;B166</f>
        <v>0市町村税収（二次以降）</v>
      </c>
      <c r="B166" s="452" t="s">
        <v>347</v>
      </c>
      <c r="C166" s="465" t="s">
        <v>37</v>
      </c>
      <c r="D166" s="507">
        <f>D154*地域経済性分析・初期条件!$O$37</f>
        <v>0</v>
      </c>
      <c r="E166" s="507">
        <f>IF(E154&lt;0,0,E154*地域経済性分析・初期条件!$O$38)</f>
        <v>0</v>
      </c>
      <c r="F166" s="507">
        <f>IF(F154&lt;0,0,F154*地域経済性分析・初期条件!$O$38)</f>
        <v>0</v>
      </c>
      <c r="G166" s="507">
        <f>IF(G154&lt;0,0,G154*地域経済性分析・初期条件!$O$38)</f>
        <v>0</v>
      </c>
      <c r="H166" s="507">
        <f>IF(H154&lt;0,0,H154*地域経済性分析・初期条件!$O$38)</f>
        <v>0</v>
      </c>
      <c r="I166" s="507">
        <f>IF(I154&lt;0,0,I154*地域経済性分析・初期条件!$O$38)</f>
        <v>0</v>
      </c>
      <c r="J166" s="507">
        <f>IF(J154&lt;0,0,J154*地域経済性分析・初期条件!$O$38)</f>
        <v>0</v>
      </c>
      <c r="K166" s="507">
        <f>IF(K154&lt;0,0,K154*地域経済性分析・初期条件!$O$38)</f>
        <v>0</v>
      </c>
      <c r="L166" s="507">
        <f>IF(L154&lt;0,0,L154*地域経済性分析・初期条件!$O$38)</f>
        <v>0</v>
      </c>
      <c r="M166" s="507">
        <f>IF(M154&lt;0,0,M154*地域経済性分析・初期条件!$O$38)</f>
        <v>0</v>
      </c>
      <c r="N166" s="507">
        <f>IF(N154&lt;0,0,N154*地域経済性分析・初期条件!$O$38)</f>
        <v>0</v>
      </c>
      <c r="O166" s="507">
        <f>IF(O154&lt;0,0,O154*地域経済性分析・初期条件!$O$38)</f>
        <v>0</v>
      </c>
      <c r="P166" s="507">
        <f>IF(P154&lt;0,0,P154*地域経済性分析・初期条件!$O$38)</f>
        <v>0</v>
      </c>
      <c r="Q166" s="507">
        <f>IF(Q154&lt;0,0,Q154*地域経済性分析・初期条件!$O$38)</f>
        <v>0</v>
      </c>
      <c r="R166" s="507">
        <f>IF(R154&lt;0,0,R154*地域経済性分析・初期条件!$O$38)</f>
        <v>0</v>
      </c>
      <c r="S166" s="507">
        <f>IF(S154&lt;0,0,S154*地域経済性分析・初期条件!$O$38)</f>
        <v>0</v>
      </c>
      <c r="T166" s="507">
        <f>IF(T154&lt;0,0,T154*地域経済性分析・初期条件!$O$38)</f>
        <v>0</v>
      </c>
      <c r="U166" s="507">
        <f>IF(U154&lt;0,0,U154*地域経済性分析・初期条件!$O$38)</f>
        <v>0</v>
      </c>
      <c r="V166" s="507">
        <f>IF(V154&lt;0,0,V154*地域経済性分析・初期条件!$O$38)</f>
        <v>0</v>
      </c>
      <c r="W166" s="507">
        <f>IF(W154&lt;0,0,W154*地域経済性分析・初期条件!$O$38)</f>
        <v>0</v>
      </c>
      <c r="X166" s="507">
        <f>IF(X154&lt;0,0,X154*地域経済性分析・初期条件!$O$38)</f>
        <v>0</v>
      </c>
      <c r="Y166" s="507">
        <f>IF(Y154&lt;0,0,Y154*地域経済性分析・初期条件!$O$38)</f>
        <v>0</v>
      </c>
      <c r="Z166" s="507">
        <f>IF(Z154&lt;0,0,Z154*地域経済性分析・初期条件!$O$38)</f>
        <v>0</v>
      </c>
      <c r="AA166" s="507">
        <f>IF(AA154&lt;0,0,AA154*地域経済性分析・初期条件!$O$38)</f>
        <v>0</v>
      </c>
      <c r="AB166" s="507">
        <f>IF(AB154&lt;0,0,AB154*地域経済性分析・初期条件!$O$38)</f>
        <v>0</v>
      </c>
      <c r="AC166" s="507">
        <f>IF(AC154&lt;0,0,AC154*地域経済性分析・初期条件!$O$38)</f>
        <v>0</v>
      </c>
      <c r="AD166" s="507">
        <f>IF(AD154&lt;0,0,AD154*地域経済性分析・初期条件!$O$38)</f>
        <v>0</v>
      </c>
      <c r="AE166" s="507">
        <f>IF(AE154&lt;0,0,AE154*地域経済性分析・初期条件!$O$38)</f>
        <v>0</v>
      </c>
      <c r="AF166" s="507">
        <f>IF(AF154&lt;0,0,AF154*地域経済性分析・初期条件!$O$38)</f>
        <v>0</v>
      </c>
      <c r="AG166" s="507">
        <f>IF(AG154&lt;0,0,AG154*地域経済性分析・初期条件!$O$38)</f>
        <v>0</v>
      </c>
      <c r="AH166" s="507">
        <f>IF(AH154&lt;0,0,AH154*地域経済性分析・初期条件!$O$38)</f>
        <v>0</v>
      </c>
      <c r="AI166" s="548">
        <f>SUM(D166:N166)</f>
        <v>0</v>
      </c>
      <c r="AJ166" s="548">
        <f>SUM(D166:X166)</f>
        <v>0</v>
      </c>
      <c r="AK166" s="510">
        <f>SUM(D166:AH166)</f>
        <v>0</v>
      </c>
    </row>
    <row r="167" spans="1:37" ht="11.5" x14ac:dyDescent="0.25">
      <c r="A167" s="502">
        <f>地域経済性分析・初期条件!$G$39</f>
        <v>0</v>
      </c>
      <c r="C167" s="465"/>
      <c r="D167" s="507"/>
      <c r="E167" s="507"/>
      <c r="F167" s="478"/>
      <c r="G167" s="478"/>
      <c r="H167" s="478"/>
      <c r="I167" s="478"/>
      <c r="J167" s="478"/>
      <c r="K167" s="478"/>
      <c r="L167" s="478"/>
      <c r="M167" s="478"/>
      <c r="N167" s="478"/>
      <c r="O167" s="478"/>
      <c r="P167" s="478"/>
      <c r="Q167" s="478"/>
      <c r="R167" s="478"/>
      <c r="S167" s="478"/>
      <c r="T167" s="478"/>
      <c r="U167" s="478"/>
      <c r="V167" s="478"/>
      <c r="W167" s="478"/>
      <c r="X167" s="478"/>
      <c r="Y167" s="478"/>
      <c r="Z167" s="478"/>
      <c r="AA167" s="478"/>
      <c r="AB167" s="478"/>
      <c r="AC167" s="478"/>
      <c r="AD167" s="478"/>
      <c r="AE167" s="478"/>
      <c r="AF167" s="478"/>
      <c r="AG167" s="478"/>
      <c r="AH167" s="478"/>
      <c r="AI167" s="548"/>
      <c r="AJ167" s="548"/>
      <c r="AK167" s="510"/>
    </row>
    <row r="168" spans="1:37" ht="11.5" x14ac:dyDescent="0.25">
      <c r="A168" s="546" t="str">
        <f>A167&amp;B168</f>
        <v>0売上（税別）</v>
      </c>
      <c r="B168" s="452" t="s">
        <v>1047</v>
      </c>
      <c r="C168" s="464" t="s">
        <v>37</v>
      </c>
      <c r="D168" s="507">
        <f>D138*地域経済性分析・初期条件!$F$39</f>
        <v>0</v>
      </c>
      <c r="E168" s="507">
        <f>IF(E138&lt;0,0,E138*地域経済性分析・初期条件!$F$39)</f>
        <v>0</v>
      </c>
      <c r="F168" s="507">
        <f>IF(F138&lt;0,0,F138*地域経済性分析・初期条件!$F$39)</f>
        <v>0</v>
      </c>
      <c r="G168" s="507">
        <f>IF(G138&lt;0,0,G138*地域経済性分析・初期条件!$F$39)</f>
        <v>0</v>
      </c>
      <c r="H168" s="507">
        <f>IF(H138&lt;0,0,H138*地域経済性分析・初期条件!$F$39)</f>
        <v>0</v>
      </c>
      <c r="I168" s="507">
        <f>IF(I138&lt;0,0,I138*地域経済性分析・初期条件!$F$39)</f>
        <v>0</v>
      </c>
      <c r="J168" s="507">
        <f>IF(J138&lt;0,0,J138*地域経済性分析・初期条件!$F$39)</f>
        <v>0</v>
      </c>
      <c r="K168" s="507">
        <f>IF(K138&lt;0,0,K138*地域経済性分析・初期条件!$F$39)</f>
        <v>0</v>
      </c>
      <c r="L168" s="507">
        <f>IF(L138&lt;0,0,L138*地域経済性分析・初期条件!$F$39)</f>
        <v>0</v>
      </c>
      <c r="M168" s="507">
        <f>IF(M138&lt;0,0,M138*地域経済性分析・初期条件!$F$39)</f>
        <v>0</v>
      </c>
      <c r="N168" s="507">
        <f>IF(N138&lt;0,0,N138*地域経済性分析・初期条件!$F$39)</f>
        <v>0</v>
      </c>
      <c r="O168" s="507">
        <f>IF(O138&lt;0,0,O138*地域経済性分析・初期条件!$F$39)</f>
        <v>0</v>
      </c>
      <c r="P168" s="507">
        <f>IF(P138&lt;0,0,P138*地域経済性分析・初期条件!$F$39)</f>
        <v>0</v>
      </c>
      <c r="Q168" s="507">
        <f>IF(Q138&lt;0,0,Q138*地域経済性分析・初期条件!$F$39)</f>
        <v>0</v>
      </c>
      <c r="R168" s="507">
        <f>IF(R138&lt;0,0,R138*地域経済性分析・初期条件!$F$39)</f>
        <v>0</v>
      </c>
      <c r="S168" s="507">
        <f>IF(S138&lt;0,0,S138*地域経済性分析・初期条件!$F$39)</f>
        <v>0</v>
      </c>
      <c r="T168" s="507">
        <f>IF(T138&lt;0,0,T138*地域経済性分析・初期条件!$F$39)</f>
        <v>0</v>
      </c>
      <c r="U168" s="507">
        <f>IF(U138&lt;0,0,U138*地域経済性分析・初期条件!$F$39)</f>
        <v>0</v>
      </c>
      <c r="V168" s="507">
        <f>IF(V138&lt;0,0,V138*地域経済性分析・初期条件!$F$39)</f>
        <v>0</v>
      </c>
      <c r="W168" s="507">
        <f>IF(W138&lt;0,0,W138*地域経済性分析・初期条件!$F$39)</f>
        <v>0</v>
      </c>
      <c r="X168" s="507">
        <f>IF(X138&lt;0,0,X138*地域経済性分析・初期条件!$F$39)</f>
        <v>0</v>
      </c>
      <c r="Y168" s="507">
        <f>IF(Y138&lt;0,0,Y138*地域経済性分析・初期条件!$F$39)</f>
        <v>0</v>
      </c>
      <c r="Z168" s="507">
        <f>IF(Z138&lt;0,0,Z138*地域経済性分析・初期条件!$F$39)</f>
        <v>0</v>
      </c>
      <c r="AA168" s="507">
        <f>IF(AA138&lt;0,0,AA138*地域経済性分析・初期条件!$F$39)</f>
        <v>0</v>
      </c>
      <c r="AB168" s="507">
        <f>IF(AB138&lt;0,0,AB138*地域経済性分析・初期条件!$F$39)</f>
        <v>0</v>
      </c>
      <c r="AC168" s="507">
        <f>IF(AC138&lt;0,0,AC138*地域経済性分析・初期条件!$F$39)</f>
        <v>0</v>
      </c>
      <c r="AD168" s="507">
        <f>IF(AD138&lt;0,0,AD138*地域経済性分析・初期条件!$F$39)</f>
        <v>0</v>
      </c>
      <c r="AE168" s="507">
        <f>IF(AE138&lt;0,0,AE138*地域経済性分析・初期条件!$F$39)</f>
        <v>0</v>
      </c>
      <c r="AF168" s="507">
        <f>IF(AF138&lt;0,0,AF138*地域経済性分析・初期条件!$F$39)</f>
        <v>0</v>
      </c>
      <c r="AG168" s="507">
        <f>IF(AG138&lt;0,0,AG138*地域経済性分析・初期条件!$F$39)</f>
        <v>0</v>
      </c>
      <c r="AH168" s="507">
        <f>IF(AH138&lt;0,0,AH138*地域経済性分析・初期条件!$F$39)</f>
        <v>0</v>
      </c>
      <c r="AI168" s="548">
        <f t="shared" ref="AI168:AI176" si="58">SUM(D168:N168)</f>
        <v>0</v>
      </c>
      <c r="AJ168" s="548">
        <f t="shared" ref="AJ168:AJ176" si="59">SUM(D168:X168)</f>
        <v>0</v>
      </c>
      <c r="AK168" s="510">
        <f t="shared" ref="AK168:AK176" si="60">SUM(D168:AH168)</f>
        <v>0</v>
      </c>
    </row>
    <row r="169" spans="1:37" ht="11.5" x14ac:dyDescent="0.25">
      <c r="A169" s="546" t="str">
        <f>A167&amp;B169</f>
        <v>0消費税（都道府県）</v>
      </c>
      <c r="B169" s="452" t="s">
        <v>263</v>
      </c>
      <c r="C169" s="464" t="s">
        <v>37</v>
      </c>
      <c r="D169" s="507">
        <f>IF(D168&lt;0,0,D168*波及効果シート!$D$72)</f>
        <v>0</v>
      </c>
      <c r="E169" s="507">
        <f>IF(E168&lt;0,0,E168*波及効果シート!$D$72)</f>
        <v>0</v>
      </c>
      <c r="F169" s="507">
        <f>IF(F168&lt;0,0,F168*波及効果シート!$D$72)</f>
        <v>0</v>
      </c>
      <c r="G169" s="507">
        <f>IF(G168&lt;0,0,G168*波及効果シート!$D$72)</f>
        <v>0</v>
      </c>
      <c r="H169" s="507">
        <f>IF(H168&lt;0,0,H168*波及効果シート!$D$72)</f>
        <v>0</v>
      </c>
      <c r="I169" s="507">
        <f>IF(I168&lt;0,0,I168*波及効果シート!$D$72)</f>
        <v>0</v>
      </c>
      <c r="J169" s="507">
        <f>IF(J168&lt;0,0,J168*波及効果シート!$D$72)</f>
        <v>0</v>
      </c>
      <c r="K169" s="507">
        <f>IF(K168&lt;0,0,K168*波及効果シート!$D$72)</f>
        <v>0</v>
      </c>
      <c r="L169" s="507">
        <f>IF(L168&lt;0,0,L168*波及効果シート!$D$72)</f>
        <v>0</v>
      </c>
      <c r="M169" s="507">
        <f>IF(M168&lt;0,0,M168*波及効果シート!$D$72)</f>
        <v>0</v>
      </c>
      <c r="N169" s="507">
        <f>IF(N168&lt;0,0,N168*波及効果シート!$D$72)</f>
        <v>0</v>
      </c>
      <c r="O169" s="507">
        <f>IF(O168&lt;0,0,O168*波及効果シート!$D$72)</f>
        <v>0</v>
      </c>
      <c r="P169" s="507">
        <f>IF(P168&lt;0,0,P168*波及効果シート!$D$72)</f>
        <v>0</v>
      </c>
      <c r="Q169" s="507">
        <f>IF(Q168&lt;0,0,Q168*波及効果シート!$D$72)</f>
        <v>0</v>
      </c>
      <c r="R169" s="507">
        <f>IF(R168&lt;0,0,R168*波及効果シート!$D$72)</f>
        <v>0</v>
      </c>
      <c r="S169" s="507">
        <f>IF(S168&lt;0,0,S168*波及効果シート!$D$72)</f>
        <v>0</v>
      </c>
      <c r="T169" s="507">
        <f>IF(T168&lt;0,0,T168*波及効果シート!$D$72)</f>
        <v>0</v>
      </c>
      <c r="U169" s="507">
        <f>IF(U168&lt;0,0,U168*波及効果シート!$D$72)</f>
        <v>0</v>
      </c>
      <c r="V169" s="507">
        <f>IF(V168&lt;0,0,V168*波及効果シート!$D$72)</f>
        <v>0</v>
      </c>
      <c r="W169" s="507">
        <f>IF(W168&lt;0,0,W168*波及効果シート!$D$72)</f>
        <v>0</v>
      </c>
      <c r="X169" s="507">
        <f>IF(X168&lt;0,0,X168*波及効果シート!$D$72)</f>
        <v>0</v>
      </c>
      <c r="Y169" s="507">
        <f>IF(Y168&lt;0,0,Y168*波及効果シート!$D$72)</f>
        <v>0</v>
      </c>
      <c r="Z169" s="507">
        <f>IF(Z168&lt;0,0,Z168*波及効果シート!$D$72)</f>
        <v>0</v>
      </c>
      <c r="AA169" s="507">
        <f>IF(AA168&lt;0,0,AA168*波及効果シート!$D$72)</f>
        <v>0</v>
      </c>
      <c r="AB169" s="507">
        <f>IF(AB168&lt;0,0,AB168*波及効果シート!$D$72)</f>
        <v>0</v>
      </c>
      <c r="AC169" s="507">
        <f>IF(AC168&lt;0,0,AC168*波及効果シート!$D$72)</f>
        <v>0</v>
      </c>
      <c r="AD169" s="507">
        <f>IF(AD168&lt;0,0,AD168*波及効果シート!$D$72)</f>
        <v>0</v>
      </c>
      <c r="AE169" s="507">
        <f>IF(AE168&lt;0,0,AE168*波及効果シート!$D$72)</f>
        <v>0</v>
      </c>
      <c r="AF169" s="507">
        <f>IF(AF168&lt;0,0,AF168*波及効果シート!$D$72)</f>
        <v>0</v>
      </c>
      <c r="AG169" s="507">
        <f>IF(AG168&lt;0,0,AG168*波及効果シート!$D$72)</f>
        <v>0</v>
      </c>
      <c r="AH169" s="507">
        <f>IF(AH168&lt;0,0,AH168*波及効果シート!$D$72)</f>
        <v>0</v>
      </c>
      <c r="AI169" s="548">
        <f t="shared" si="58"/>
        <v>0</v>
      </c>
      <c r="AJ169" s="548">
        <f t="shared" si="59"/>
        <v>0</v>
      </c>
      <c r="AK169" s="510">
        <f t="shared" si="60"/>
        <v>0</v>
      </c>
    </row>
    <row r="170" spans="1:37" ht="11.5" x14ac:dyDescent="0.25">
      <c r="A170" s="546" t="str">
        <f>A167&amp;B170</f>
        <v>0消費税（市町村）</v>
      </c>
      <c r="B170" s="452" t="s">
        <v>1048</v>
      </c>
      <c r="C170" s="465" t="s">
        <v>37</v>
      </c>
      <c r="D170" s="507">
        <f>IF(D168&lt;0,0,D168*波及効果シート!$D$74)</f>
        <v>0</v>
      </c>
      <c r="E170" s="507">
        <f>IF(E168&lt;0,0,E168*波及効果シート!$D$74)</f>
        <v>0</v>
      </c>
      <c r="F170" s="507">
        <f>IF(F168&lt;0,0,F168*波及効果シート!$D$74)</f>
        <v>0</v>
      </c>
      <c r="G170" s="507">
        <f>IF(G168&lt;0,0,G168*波及効果シート!$D$74)</f>
        <v>0</v>
      </c>
      <c r="H170" s="507">
        <f>IF(H168&lt;0,0,H168*波及効果シート!$D$74)</f>
        <v>0</v>
      </c>
      <c r="I170" s="507">
        <f>IF(I168&lt;0,0,I168*波及効果シート!$D$74)</f>
        <v>0</v>
      </c>
      <c r="J170" s="507">
        <f>IF(J168&lt;0,0,J168*波及効果シート!$D$74)</f>
        <v>0</v>
      </c>
      <c r="K170" s="507">
        <f>IF(K168&lt;0,0,K168*波及効果シート!$D$74)</f>
        <v>0</v>
      </c>
      <c r="L170" s="507">
        <f>IF(L168&lt;0,0,L168*波及効果シート!$D$74)</f>
        <v>0</v>
      </c>
      <c r="M170" s="507">
        <f>IF(M168&lt;0,0,M168*波及効果シート!$D$74)</f>
        <v>0</v>
      </c>
      <c r="N170" s="507">
        <f>IF(N168&lt;0,0,N168*波及効果シート!$D$74)</f>
        <v>0</v>
      </c>
      <c r="O170" s="507">
        <f>IF(O168&lt;0,0,O168*波及効果シート!$D$74)</f>
        <v>0</v>
      </c>
      <c r="P170" s="507">
        <f>IF(P168&lt;0,0,P168*波及効果シート!$D$74)</f>
        <v>0</v>
      </c>
      <c r="Q170" s="507">
        <f>IF(Q168&lt;0,0,Q168*波及効果シート!$D$74)</f>
        <v>0</v>
      </c>
      <c r="R170" s="507">
        <f>IF(R168&lt;0,0,R168*波及効果シート!$D$74)</f>
        <v>0</v>
      </c>
      <c r="S170" s="507">
        <f>IF(S168&lt;0,0,S168*波及効果シート!$D$74)</f>
        <v>0</v>
      </c>
      <c r="T170" s="507">
        <f>IF(T168&lt;0,0,T168*波及効果シート!$D$74)</f>
        <v>0</v>
      </c>
      <c r="U170" s="507">
        <f>IF(U168&lt;0,0,U168*波及効果シート!$D$74)</f>
        <v>0</v>
      </c>
      <c r="V170" s="507">
        <f>IF(V168&lt;0,0,V168*波及効果シート!$D$74)</f>
        <v>0</v>
      </c>
      <c r="W170" s="507">
        <f>IF(W168&lt;0,0,W168*波及効果シート!$D$74)</f>
        <v>0</v>
      </c>
      <c r="X170" s="507">
        <f>IF(X168&lt;0,0,X168*波及効果シート!$D$74)</f>
        <v>0</v>
      </c>
      <c r="Y170" s="507">
        <f>IF(Y168&lt;0,0,Y168*波及効果シート!$D$74)</f>
        <v>0</v>
      </c>
      <c r="Z170" s="507">
        <f>IF(Z168&lt;0,0,Z168*波及効果シート!$D$74)</f>
        <v>0</v>
      </c>
      <c r="AA170" s="507">
        <f>IF(AA168&lt;0,0,AA168*波及効果シート!$D$74)</f>
        <v>0</v>
      </c>
      <c r="AB170" s="507">
        <f>IF(AB168&lt;0,0,AB168*波及効果シート!$D$74)</f>
        <v>0</v>
      </c>
      <c r="AC170" s="507">
        <f>IF(AC168&lt;0,0,AC168*波及効果シート!$D$74)</f>
        <v>0</v>
      </c>
      <c r="AD170" s="507">
        <f>IF(AD168&lt;0,0,AD168*波及効果シート!$D$74)</f>
        <v>0</v>
      </c>
      <c r="AE170" s="507">
        <f>IF(AE168&lt;0,0,AE168*波及効果シート!$D$74)</f>
        <v>0</v>
      </c>
      <c r="AF170" s="507">
        <f>IF(AF168&lt;0,0,AF168*波及効果シート!$D$74)</f>
        <v>0</v>
      </c>
      <c r="AG170" s="507">
        <f>IF(AG168&lt;0,0,AG168*波及効果シート!$D$74)</f>
        <v>0</v>
      </c>
      <c r="AH170" s="507">
        <f>IF(AH168&lt;0,0,AH168*波及効果シート!$D$74)</f>
        <v>0</v>
      </c>
      <c r="AI170" s="548">
        <f t="shared" si="58"/>
        <v>0</v>
      </c>
      <c r="AJ170" s="548">
        <f t="shared" si="59"/>
        <v>0</v>
      </c>
      <c r="AK170" s="510">
        <f t="shared" si="60"/>
        <v>0</v>
      </c>
    </row>
    <row r="171" spans="1:37" ht="11.5" x14ac:dyDescent="0.25">
      <c r="A171" s="546" t="str">
        <f>A167&amp;B171</f>
        <v>0所得税（国税）</v>
      </c>
      <c r="B171" s="452" t="s">
        <v>356</v>
      </c>
      <c r="C171" s="465" t="s">
        <v>37</v>
      </c>
      <c r="D171" s="507">
        <f>D168*地域経済性分析・初期条件!$P$39</f>
        <v>0</v>
      </c>
      <c r="E171" s="507">
        <f>IF(E168&lt;0,0,E168*地域経済性分析・初期条件!$P$39)</f>
        <v>0</v>
      </c>
      <c r="F171" s="507">
        <f>IF(F168&lt;0,0,F168*地域経済性分析・初期条件!$P$39)</f>
        <v>0</v>
      </c>
      <c r="G171" s="507">
        <f>IF(G168&lt;0,0,G168*地域経済性分析・初期条件!$P$39)</f>
        <v>0</v>
      </c>
      <c r="H171" s="507">
        <f>IF(H168&lt;0,0,H168*地域経済性分析・初期条件!$P$39)</f>
        <v>0</v>
      </c>
      <c r="I171" s="507">
        <f>IF(I168&lt;0,0,I168*地域経済性分析・初期条件!$P$39)</f>
        <v>0</v>
      </c>
      <c r="J171" s="507">
        <f>IF(J168&lt;0,0,J168*地域経済性分析・初期条件!$P$39)</f>
        <v>0</v>
      </c>
      <c r="K171" s="507">
        <f>IF(K168&lt;0,0,K168*地域経済性分析・初期条件!$P$39)</f>
        <v>0</v>
      </c>
      <c r="L171" s="507">
        <f>IF(L168&lt;0,0,L168*地域経済性分析・初期条件!$P$39)</f>
        <v>0</v>
      </c>
      <c r="M171" s="507">
        <f>IF(M168&lt;0,0,M168*地域経済性分析・初期条件!$P$39)</f>
        <v>0</v>
      </c>
      <c r="N171" s="507">
        <f>IF(N168&lt;0,0,N168*地域経済性分析・初期条件!$P$39)</f>
        <v>0</v>
      </c>
      <c r="O171" s="507">
        <f>IF(O168&lt;0,0,O168*地域経済性分析・初期条件!$P$39)</f>
        <v>0</v>
      </c>
      <c r="P171" s="507">
        <f>IF(P168&lt;0,0,P168*地域経済性分析・初期条件!$P$39)</f>
        <v>0</v>
      </c>
      <c r="Q171" s="507">
        <f>IF(Q168&lt;0,0,Q168*地域経済性分析・初期条件!$P$39)</f>
        <v>0</v>
      </c>
      <c r="R171" s="507">
        <f>IF(R168&lt;0,0,R168*地域経済性分析・初期条件!$P$39)</f>
        <v>0</v>
      </c>
      <c r="S171" s="507">
        <f>IF(S168&lt;0,0,S168*地域経済性分析・初期条件!$P$39)</f>
        <v>0</v>
      </c>
      <c r="T171" s="507">
        <f>IF(T168&lt;0,0,T168*地域経済性分析・初期条件!$P$39)</f>
        <v>0</v>
      </c>
      <c r="U171" s="507">
        <f>IF(U168&lt;0,0,U168*地域経済性分析・初期条件!$P$39)</f>
        <v>0</v>
      </c>
      <c r="V171" s="507">
        <f>IF(V168&lt;0,0,V168*地域経済性分析・初期条件!$P$39)</f>
        <v>0</v>
      </c>
      <c r="W171" s="507">
        <f>IF(W168&lt;0,0,W168*地域経済性分析・初期条件!$P$39)</f>
        <v>0</v>
      </c>
      <c r="X171" s="507">
        <f>IF(X168&lt;0,0,X168*地域経済性分析・初期条件!$P$39)</f>
        <v>0</v>
      </c>
      <c r="Y171" s="507">
        <f>IF(Y168&lt;0,0,Y168*地域経済性分析・初期条件!$P$39)</f>
        <v>0</v>
      </c>
      <c r="Z171" s="507">
        <f>IF(Z168&lt;0,0,Z168*地域経済性分析・初期条件!$P$39)</f>
        <v>0</v>
      </c>
      <c r="AA171" s="507">
        <f>IF(AA168&lt;0,0,AA168*地域経済性分析・初期条件!$P$39)</f>
        <v>0</v>
      </c>
      <c r="AB171" s="507">
        <f>IF(AB168&lt;0,0,AB168*地域経済性分析・初期条件!$P$39)</f>
        <v>0</v>
      </c>
      <c r="AC171" s="507">
        <f>IF(AC168&lt;0,0,AC168*地域経済性分析・初期条件!$P$39)</f>
        <v>0</v>
      </c>
      <c r="AD171" s="507">
        <f>IF(AD168&lt;0,0,AD168*地域経済性分析・初期条件!$P$39)</f>
        <v>0</v>
      </c>
      <c r="AE171" s="507">
        <f>IF(AE168&lt;0,0,AE168*地域経済性分析・初期条件!$P$39)</f>
        <v>0</v>
      </c>
      <c r="AF171" s="507">
        <f>IF(AF168&lt;0,0,AF168*地域経済性分析・初期条件!$P$39)</f>
        <v>0</v>
      </c>
      <c r="AG171" s="507">
        <f>IF(AG168&lt;0,0,AG168*地域経済性分析・初期条件!$P$39)</f>
        <v>0</v>
      </c>
      <c r="AH171" s="507">
        <f>IF(AH168&lt;0,0,AH168*地域経済性分析・初期条件!$P$39)</f>
        <v>0</v>
      </c>
      <c r="AI171" s="548">
        <f t="shared" si="58"/>
        <v>0</v>
      </c>
      <c r="AJ171" s="548">
        <f t="shared" si="59"/>
        <v>0</v>
      </c>
      <c r="AK171" s="510">
        <f t="shared" si="60"/>
        <v>0</v>
      </c>
    </row>
    <row r="172" spans="1:37" ht="11.5" x14ac:dyDescent="0.25">
      <c r="A172" s="546" t="str">
        <f>A167&amp;B172</f>
        <v>0法人税（国税）</v>
      </c>
      <c r="B172" s="452" t="s">
        <v>355</v>
      </c>
      <c r="C172" s="465" t="s">
        <v>37</v>
      </c>
      <c r="D172" s="507">
        <f>D168*地域経済性分析・初期条件!$Q$39</f>
        <v>0</v>
      </c>
      <c r="E172" s="507">
        <f>IF(E168&lt;0,0,E168*地域経済性分析・初期条件!$Q$39)</f>
        <v>0</v>
      </c>
      <c r="F172" s="507">
        <f>IF(F168&lt;0,0,F168*地域経済性分析・初期条件!$Q$39)</f>
        <v>0</v>
      </c>
      <c r="G172" s="507">
        <f>IF(G168&lt;0,0,G168*地域経済性分析・初期条件!$Q$39)</f>
        <v>0</v>
      </c>
      <c r="H172" s="507">
        <f>IF(H168&lt;0,0,H168*地域経済性分析・初期条件!$Q$39)</f>
        <v>0</v>
      </c>
      <c r="I172" s="507">
        <f>IF(I168&lt;0,0,I168*地域経済性分析・初期条件!$Q$39)</f>
        <v>0</v>
      </c>
      <c r="J172" s="507">
        <f>IF(J168&lt;0,0,J168*地域経済性分析・初期条件!$Q$39)</f>
        <v>0</v>
      </c>
      <c r="K172" s="507">
        <f>IF(K168&lt;0,0,K168*地域経済性分析・初期条件!$Q$39)</f>
        <v>0</v>
      </c>
      <c r="L172" s="507">
        <f>IF(L168&lt;0,0,L168*地域経済性分析・初期条件!$Q$39)</f>
        <v>0</v>
      </c>
      <c r="M172" s="507">
        <f>IF(M168&lt;0,0,M168*地域経済性分析・初期条件!$Q$39)</f>
        <v>0</v>
      </c>
      <c r="N172" s="507">
        <f>IF(N168&lt;0,0,N168*地域経済性分析・初期条件!$Q$39)</f>
        <v>0</v>
      </c>
      <c r="O172" s="507">
        <f>IF(O168&lt;0,0,O168*地域経済性分析・初期条件!$Q$39)</f>
        <v>0</v>
      </c>
      <c r="P172" s="507">
        <f>IF(P168&lt;0,0,P168*地域経済性分析・初期条件!$Q$39)</f>
        <v>0</v>
      </c>
      <c r="Q172" s="507">
        <f>IF(Q168&lt;0,0,Q168*地域経済性分析・初期条件!$Q$39)</f>
        <v>0</v>
      </c>
      <c r="R172" s="507">
        <f>IF(R168&lt;0,0,R168*地域経済性分析・初期条件!$Q$39)</f>
        <v>0</v>
      </c>
      <c r="S172" s="507">
        <f>IF(S168&lt;0,0,S168*地域経済性分析・初期条件!$Q$39)</f>
        <v>0</v>
      </c>
      <c r="T172" s="507">
        <f>IF(T168&lt;0,0,T168*地域経済性分析・初期条件!$Q$39)</f>
        <v>0</v>
      </c>
      <c r="U172" s="507">
        <f>IF(U168&lt;0,0,U168*地域経済性分析・初期条件!$Q$39)</f>
        <v>0</v>
      </c>
      <c r="V172" s="507">
        <f>IF(V168&lt;0,0,V168*地域経済性分析・初期条件!$Q$39)</f>
        <v>0</v>
      </c>
      <c r="W172" s="507">
        <f>IF(W168&lt;0,0,W168*地域経済性分析・初期条件!$Q$39)</f>
        <v>0</v>
      </c>
      <c r="X172" s="507">
        <f>IF(X168&lt;0,0,X168*地域経済性分析・初期条件!$Q$39)</f>
        <v>0</v>
      </c>
      <c r="Y172" s="507">
        <f>IF(Y168&lt;0,0,Y168*地域経済性分析・初期条件!$Q$39)</f>
        <v>0</v>
      </c>
      <c r="Z172" s="507">
        <f>IF(Z168&lt;0,0,Z168*地域経済性分析・初期条件!$Q$39)</f>
        <v>0</v>
      </c>
      <c r="AA172" s="507">
        <f>IF(AA168&lt;0,0,AA168*地域経済性分析・初期条件!$Q$39)</f>
        <v>0</v>
      </c>
      <c r="AB172" s="507">
        <f>IF(AB168&lt;0,0,AB168*地域経済性分析・初期条件!$Q$39)</f>
        <v>0</v>
      </c>
      <c r="AC172" s="507">
        <f>IF(AC168&lt;0,0,AC168*地域経済性分析・初期条件!$Q$39)</f>
        <v>0</v>
      </c>
      <c r="AD172" s="507">
        <f>IF(AD168&lt;0,0,AD168*地域経済性分析・初期条件!$Q$39)</f>
        <v>0</v>
      </c>
      <c r="AE172" s="507">
        <f>IF(AE168&lt;0,0,AE168*地域経済性分析・初期条件!$Q$39)</f>
        <v>0</v>
      </c>
      <c r="AF172" s="507">
        <f>IF(AF168&lt;0,0,AF168*地域経済性分析・初期条件!$Q$39)</f>
        <v>0</v>
      </c>
      <c r="AG172" s="507">
        <f>IF(AG168&lt;0,0,AG168*地域経済性分析・初期条件!$Q$39)</f>
        <v>0</v>
      </c>
      <c r="AH172" s="507">
        <f>IF(AH168&lt;0,0,AH168*地域経済性分析・初期条件!$Q$39)</f>
        <v>0</v>
      </c>
      <c r="AI172" s="548">
        <f t="shared" si="58"/>
        <v>0</v>
      </c>
      <c r="AJ172" s="548">
        <f t="shared" si="59"/>
        <v>0</v>
      </c>
      <c r="AK172" s="510">
        <f t="shared" si="60"/>
        <v>0</v>
      </c>
    </row>
    <row r="173" spans="1:37" ht="11.5" x14ac:dyDescent="0.25">
      <c r="A173" s="546" t="str">
        <f>A167&amp;B173</f>
        <v>0従業員の可処分所得（一次）</v>
      </c>
      <c r="B173" s="452" t="s">
        <v>339</v>
      </c>
      <c r="C173" s="464" t="s">
        <v>37</v>
      </c>
      <c r="D173" s="507">
        <f>D168*地域経済性分析・初期条件!$H$39</f>
        <v>0</v>
      </c>
      <c r="E173" s="507">
        <f>IF(E168&lt;0,0,E168*地域経済性分析・初期条件!$H$39)</f>
        <v>0</v>
      </c>
      <c r="F173" s="507">
        <f>IF(F168&lt;0,0,F168*地域経済性分析・初期条件!$H$39)</f>
        <v>0</v>
      </c>
      <c r="G173" s="507">
        <f>IF(G168&lt;0,0,G168*地域経済性分析・初期条件!$H$39)</f>
        <v>0</v>
      </c>
      <c r="H173" s="507">
        <f>IF(H168&lt;0,0,H168*地域経済性分析・初期条件!$H$39)</f>
        <v>0</v>
      </c>
      <c r="I173" s="507">
        <f>IF(I168&lt;0,0,I168*地域経済性分析・初期条件!$H$39)</f>
        <v>0</v>
      </c>
      <c r="J173" s="507">
        <f>IF(J168&lt;0,0,J168*地域経済性分析・初期条件!$H$39)</f>
        <v>0</v>
      </c>
      <c r="K173" s="507">
        <f>IF(K168&lt;0,0,K168*地域経済性分析・初期条件!$H$39)</f>
        <v>0</v>
      </c>
      <c r="L173" s="507">
        <f>IF(L168&lt;0,0,L168*地域経済性分析・初期条件!$H$39)</f>
        <v>0</v>
      </c>
      <c r="M173" s="507">
        <f>IF(M168&lt;0,0,M168*地域経済性分析・初期条件!$H$39)</f>
        <v>0</v>
      </c>
      <c r="N173" s="507">
        <f>IF(N168&lt;0,0,N168*地域経済性分析・初期条件!$H$39)</f>
        <v>0</v>
      </c>
      <c r="O173" s="507">
        <f>IF(O168&lt;0,0,O168*地域経済性分析・初期条件!$H$39)</f>
        <v>0</v>
      </c>
      <c r="P173" s="507">
        <f>IF(P168&lt;0,0,P168*地域経済性分析・初期条件!$H$39)</f>
        <v>0</v>
      </c>
      <c r="Q173" s="507">
        <f>IF(Q168&lt;0,0,Q168*地域経済性分析・初期条件!$H$39)</f>
        <v>0</v>
      </c>
      <c r="R173" s="507">
        <f>IF(R168&lt;0,0,R168*地域経済性分析・初期条件!$H$39)</f>
        <v>0</v>
      </c>
      <c r="S173" s="507">
        <f>IF(S168&lt;0,0,S168*地域経済性分析・初期条件!$H$39)</f>
        <v>0</v>
      </c>
      <c r="T173" s="507">
        <f>IF(T168&lt;0,0,T168*地域経済性分析・初期条件!$H$39)</f>
        <v>0</v>
      </c>
      <c r="U173" s="507">
        <f>IF(U168&lt;0,0,U168*地域経済性分析・初期条件!$H$39)</f>
        <v>0</v>
      </c>
      <c r="V173" s="507">
        <f>IF(V168&lt;0,0,V168*地域経済性分析・初期条件!$H$39)</f>
        <v>0</v>
      </c>
      <c r="W173" s="507">
        <f>IF(W168&lt;0,0,W168*地域経済性分析・初期条件!$H$39)</f>
        <v>0</v>
      </c>
      <c r="X173" s="507">
        <f>IF(X168&lt;0,0,X168*地域経済性分析・初期条件!$H$39)</f>
        <v>0</v>
      </c>
      <c r="Y173" s="507">
        <f>IF(Y168&lt;0,0,Y168*地域経済性分析・初期条件!$H$39)</f>
        <v>0</v>
      </c>
      <c r="Z173" s="507">
        <f>IF(Z168&lt;0,0,Z168*地域経済性分析・初期条件!$H$39)</f>
        <v>0</v>
      </c>
      <c r="AA173" s="507">
        <f>IF(AA168&lt;0,0,AA168*地域経済性分析・初期条件!$H$39)</f>
        <v>0</v>
      </c>
      <c r="AB173" s="507">
        <f>IF(AB168&lt;0,0,AB168*地域経済性分析・初期条件!$H$39)</f>
        <v>0</v>
      </c>
      <c r="AC173" s="507">
        <f>IF(AC168&lt;0,0,AC168*地域経済性分析・初期条件!$H$39)</f>
        <v>0</v>
      </c>
      <c r="AD173" s="507">
        <f>IF(AD168&lt;0,0,AD168*地域経済性分析・初期条件!$H$39)</f>
        <v>0</v>
      </c>
      <c r="AE173" s="507">
        <f>IF(AE168&lt;0,0,AE168*地域経済性分析・初期条件!$H$39)</f>
        <v>0</v>
      </c>
      <c r="AF173" s="507">
        <f>IF(AF168&lt;0,0,AF168*地域経済性分析・初期条件!$H$39)</f>
        <v>0</v>
      </c>
      <c r="AG173" s="507">
        <f>IF(AG168&lt;0,0,AG168*地域経済性分析・初期条件!$H$39)</f>
        <v>0</v>
      </c>
      <c r="AH173" s="507">
        <f>IF(AH168&lt;0,0,AH168*地域経済性分析・初期条件!$H$39)</f>
        <v>0</v>
      </c>
      <c r="AI173" s="548">
        <f t="shared" si="58"/>
        <v>0</v>
      </c>
      <c r="AJ173" s="548">
        <f t="shared" si="59"/>
        <v>0</v>
      </c>
      <c r="AK173" s="510">
        <f t="shared" si="60"/>
        <v>0</v>
      </c>
    </row>
    <row r="174" spans="1:37" ht="11.5" x14ac:dyDescent="0.25">
      <c r="A174" s="546" t="str">
        <f>A167&amp;B174</f>
        <v>0企業の税引後利益（一次）</v>
      </c>
      <c r="B174" s="452" t="s">
        <v>340</v>
      </c>
      <c r="C174" s="464" t="s">
        <v>37</v>
      </c>
      <c r="D174" s="507">
        <f>D168*地域経済性分析・初期条件!$I$39</f>
        <v>0</v>
      </c>
      <c r="E174" s="507">
        <f>IF(E168&lt;0,0,E168*地域経済性分析・初期条件!$I$39)</f>
        <v>0</v>
      </c>
      <c r="F174" s="507">
        <f>IF(F168&lt;0,0,F168*地域経済性分析・初期条件!$I$39)</f>
        <v>0</v>
      </c>
      <c r="G174" s="507">
        <f>IF(G168&lt;0,0,G168*地域経済性分析・初期条件!$I$39)</f>
        <v>0</v>
      </c>
      <c r="H174" s="507">
        <f>IF(H168&lt;0,0,H168*地域経済性分析・初期条件!$I$39)</f>
        <v>0</v>
      </c>
      <c r="I174" s="507">
        <f>IF(I168&lt;0,0,I168*地域経済性分析・初期条件!$I$39)</f>
        <v>0</v>
      </c>
      <c r="J174" s="507">
        <f>IF(J168&lt;0,0,J168*地域経済性分析・初期条件!$I$39)</f>
        <v>0</v>
      </c>
      <c r="K174" s="507">
        <f>IF(K168&lt;0,0,K168*地域経済性分析・初期条件!$I$39)</f>
        <v>0</v>
      </c>
      <c r="L174" s="507">
        <f>IF(L168&lt;0,0,L168*地域経済性分析・初期条件!$I$39)</f>
        <v>0</v>
      </c>
      <c r="M174" s="507">
        <f>IF(M168&lt;0,0,M168*地域経済性分析・初期条件!$I$39)</f>
        <v>0</v>
      </c>
      <c r="N174" s="507">
        <f>IF(N168&lt;0,0,N168*地域経済性分析・初期条件!$I$39)</f>
        <v>0</v>
      </c>
      <c r="O174" s="507">
        <f>IF(O168&lt;0,0,O168*地域経済性分析・初期条件!$I$39)</f>
        <v>0</v>
      </c>
      <c r="P174" s="507">
        <f>IF(P168&lt;0,0,P168*地域経済性分析・初期条件!$I$39)</f>
        <v>0</v>
      </c>
      <c r="Q174" s="507">
        <f>IF(Q168&lt;0,0,Q168*地域経済性分析・初期条件!$I$39)</f>
        <v>0</v>
      </c>
      <c r="R174" s="507">
        <f>IF(R168&lt;0,0,R168*地域経済性分析・初期条件!$I$39)</f>
        <v>0</v>
      </c>
      <c r="S174" s="507">
        <f>IF(S168&lt;0,0,S168*地域経済性分析・初期条件!$I$39)</f>
        <v>0</v>
      </c>
      <c r="T174" s="507">
        <f>IF(T168&lt;0,0,T168*地域経済性分析・初期条件!$I$39)</f>
        <v>0</v>
      </c>
      <c r="U174" s="507">
        <f>IF(U168&lt;0,0,U168*地域経済性分析・初期条件!$I$39)</f>
        <v>0</v>
      </c>
      <c r="V174" s="507">
        <f>IF(V168&lt;0,0,V168*地域経済性分析・初期条件!$I$39)</f>
        <v>0</v>
      </c>
      <c r="W174" s="507">
        <f>IF(W168&lt;0,0,W168*地域経済性分析・初期条件!$I$39)</f>
        <v>0</v>
      </c>
      <c r="X174" s="507">
        <f>IF(X168&lt;0,0,X168*地域経済性分析・初期条件!$I$39)</f>
        <v>0</v>
      </c>
      <c r="Y174" s="507">
        <f>IF(Y168&lt;0,0,Y168*地域経済性分析・初期条件!$I$39)</f>
        <v>0</v>
      </c>
      <c r="Z174" s="507">
        <f>IF(Z168&lt;0,0,Z168*地域経済性分析・初期条件!$I$39)</f>
        <v>0</v>
      </c>
      <c r="AA174" s="507">
        <f>IF(AA168&lt;0,0,AA168*地域経済性分析・初期条件!$I$39)</f>
        <v>0</v>
      </c>
      <c r="AB174" s="507">
        <f>IF(AB168&lt;0,0,AB168*地域経済性分析・初期条件!$I$39)</f>
        <v>0</v>
      </c>
      <c r="AC174" s="507">
        <f>IF(AC168&lt;0,0,AC168*地域経済性分析・初期条件!$I$39)</f>
        <v>0</v>
      </c>
      <c r="AD174" s="507">
        <f>IF(AD168&lt;0,0,AD168*地域経済性分析・初期条件!$I$39)</f>
        <v>0</v>
      </c>
      <c r="AE174" s="507">
        <f>IF(AE168&lt;0,0,AE168*地域経済性分析・初期条件!$I$39)</f>
        <v>0</v>
      </c>
      <c r="AF174" s="507">
        <f>IF(AF168&lt;0,0,AF168*地域経済性分析・初期条件!$I$39)</f>
        <v>0</v>
      </c>
      <c r="AG174" s="507">
        <f>IF(AG168&lt;0,0,AG168*地域経済性分析・初期条件!$I$39)</f>
        <v>0</v>
      </c>
      <c r="AH174" s="507">
        <f>IF(AH168&lt;0,0,AH168*地域経済性分析・初期条件!$I$39)</f>
        <v>0</v>
      </c>
      <c r="AI174" s="548">
        <f t="shared" si="58"/>
        <v>0</v>
      </c>
      <c r="AJ174" s="548">
        <f t="shared" si="59"/>
        <v>0</v>
      </c>
      <c r="AK174" s="510">
        <f t="shared" si="60"/>
        <v>0</v>
      </c>
    </row>
    <row r="175" spans="1:37" ht="11.5" x14ac:dyDescent="0.25">
      <c r="A175" s="546" t="str">
        <f>A167&amp;B175</f>
        <v>0都道府県税収（一次）</v>
      </c>
      <c r="B175" s="452" t="s">
        <v>341</v>
      </c>
      <c r="C175" s="464" t="s">
        <v>37</v>
      </c>
      <c r="D175" s="507">
        <f>D168*地域経済性分析・初期条件!$J$39</f>
        <v>0</v>
      </c>
      <c r="E175" s="507">
        <f>IF(E168&lt;0,0,E168*地域経済性分析・初期条件!$J$39)</f>
        <v>0</v>
      </c>
      <c r="F175" s="507">
        <f>IF(F168&lt;0,0,F168*地域経済性分析・初期条件!$J$39)</f>
        <v>0</v>
      </c>
      <c r="G175" s="507">
        <f>IF(G168&lt;0,0,G168*地域経済性分析・初期条件!$J$39)</f>
        <v>0</v>
      </c>
      <c r="H175" s="507">
        <f>IF(H168&lt;0,0,H168*地域経済性分析・初期条件!$J$39)</f>
        <v>0</v>
      </c>
      <c r="I175" s="507">
        <f>IF(I168&lt;0,0,I168*地域経済性分析・初期条件!$J$39)</f>
        <v>0</v>
      </c>
      <c r="J175" s="507">
        <f>IF(J168&lt;0,0,J168*地域経済性分析・初期条件!$J$39)</f>
        <v>0</v>
      </c>
      <c r="K175" s="507">
        <f>IF(K168&lt;0,0,K168*地域経済性分析・初期条件!$J$39)</f>
        <v>0</v>
      </c>
      <c r="L175" s="507">
        <f>IF(L168&lt;0,0,L168*地域経済性分析・初期条件!$J$39)</f>
        <v>0</v>
      </c>
      <c r="M175" s="507">
        <f>IF(M168&lt;0,0,M168*地域経済性分析・初期条件!$J$39)</f>
        <v>0</v>
      </c>
      <c r="N175" s="507">
        <f>IF(N168&lt;0,0,N168*地域経済性分析・初期条件!$J$39)</f>
        <v>0</v>
      </c>
      <c r="O175" s="507">
        <f>IF(O168&lt;0,0,O168*地域経済性分析・初期条件!$J$39)</f>
        <v>0</v>
      </c>
      <c r="P175" s="507">
        <f>IF(P168&lt;0,0,P168*地域経済性分析・初期条件!$J$39)</f>
        <v>0</v>
      </c>
      <c r="Q175" s="507">
        <f>IF(Q168&lt;0,0,Q168*地域経済性分析・初期条件!$J$39)</f>
        <v>0</v>
      </c>
      <c r="R175" s="507">
        <f>IF(R168&lt;0,0,R168*地域経済性分析・初期条件!$J$39)</f>
        <v>0</v>
      </c>
      <c r="S175" s="507">
        <f>IF(S168&lt;0,0,S168*地域経済性分析・初期条件!$J$39)</f>
        <v>0</v>
      </c>
      <c r="T175" s="507">
        <f>IF(T168&lt;0,0,T168*地域経済性分析・初期条件!$J$39)</f>
        <v>0</v>
      </c>
      <c r="U175" s="507">
        <f>IF(U168&lt;0,0,U168*地域経済性分析・初期条件!$J$39)</f>
        <v>0</v>
      </c>
      <c r="V175" s="507">
        <f>IF(V168&lt;0,0,V168*地域経済性分析・初期条件!$J$39)</f>
        <v>0</v>
      </c>
      <c r="W175" s="507">
        <f>IF(W168&lt;0,0,W168*地域経済性分析・初期条件!$J$39)</f>
        <v>0</v>
      </c>
      <c r="X175" s="507">
        <f>IF(X168&lt;0,0,X168*地域経済性分析・初期条件!$J$39)</f>
        <v>0</v>
      </c>
      <c r="Y175" s="507">
        <f>IF(Y168&lt;0,0,Y168*地域経済性分析・初期条件!$J$39)</f>
        <v>0</v>
      </c>
      <c r="Z175" s="507">
        <f>IF(Z168&lt;0,0,Z168*地域経済性分析・初期条件!$J$39)</f>
        <v>0</v>
      </c>
      <c r="AA175" s="507">
        <f>IF(AA168&lt;0,0,AA168*地域経済性分析・初期条件!$J$39)</f>
        <v>0</v>
      </c>
      <c r="AB175" s="507">
        <f>IF(AB168&lt;0,0,AB168*地域経済性分析・初期条件!$J$39)</f>
        <v>0</v>
      </c>
      <c r="AC175" s="507">
        <f>IF(AC168&lt;0,0,AC168*地域経済性分析・初期条件!$J$39)</f>
        <v>0</v>
      </c>
      <c r="AD175" s="507">
        <f>IF(AD168&lt;0,0,AD168*地域経済性分析・初期条件!$J$39)</f>
        <v>0</v>
      </c>
      <c r="AE175" s="507">
        <f>IF(AE168&lt;0,0,AE168*地域経済性分析・初期条件!$J$39)</f>
        <v>0</v>
      </c>
      <c r="AF175" s="507">
        <f>IF(AF168&lt;0,0,AF168*地域経済性分析・初期条件!$J$39)</f>
        <v>0</v>
      </c>
      <c r="AG175" s="507">
        <f>IF(AG168&lt;0,0,AG168*地域経済性分析・初期条件!$J$39)</f>
        <v>0</v>
      </c>
      <c r="AH175" s="507">
        <f>IF(AH168&lt;0,0,AH168*地域経済性分析・初期条件!$J$39)</f>
        <v>0</v>
      </c>
      <c r="AI175" s="548">
        <f t="shared" si="58"/>
        <v>0</v>
      </c>
      <c r="AJ175" s="548">
        <f t="shared" si="59"/>
        <v>0</v>
      </c>
      <c r="AK175" s="510">
        <f t="shared" si="60"/>
        <v>0</v>
      </c>
    </row>
    <row r="176" spans="1:37" ht="11.5" x14ac:dyDescent="0.25">
      <c r="A176" s="546" t="str">
        <f>A167&amp;B176</f>
        <v>0市町村税収（一次）</v>
      </c>
      <c r="B176" s="452" t="s">
        <v>342</v>
      </c>
      <c r="C176" s="465" t="s">
        <v>37</v>
      </c>
      <c r="D176" s="507">
        <f>D168*地域経済性分析・初期条件!$K$39</f>
        <v>0</v>
      </c>
      <c r="E176" s="507">
        <f>IF(E168&lt;0,0,E168*地域経済性分析・初期条件!$K$39)</f>
        <v>0</v>
      </c>
      <c r="F176" s="507">
        <f>IF(F168&lt;0,0,F168*地域経済性分析・初期条件!$K$39)</f>
        <v>0</v>
      </c>
      <c r="G176" s="507">
        <f>IF(G168&lt;0,0,G168*地域経済性分析・初期条件!$K$39)</f>
        <v>0</v>
      </c>
      <c r="H176" s="507">
        <f>IF(H168&lt;0,0,H168*地域経済性分析・初期条件!$K$39)</f>
        <v>0</v>
      </c>
      <c r="I176" s="507">
        <f>IF(I168&lt;0,0,I168*地域経済性分析・初期条件!$K$39)</f>
        <v>0</v>
      </c>
      <c r="J176" s="507">
        <f>IF(J168&lt;0,0,J168*地域経済性分析・初期条件!$K$39)</f>
        <v>0</v>
      </c>
      <c r="K176" s="507">
        <f>IF(K168&lt;0,0,K168*地域経済性分析・初期条件!$K$39)</f>
        <v>0</v>
      </c>
      <c r="L176" s="507">
        <f>IF(L168&lt;0,0,L168*地域経済性分析・初期条件!$K$39)</f>
        <v>0</v>
      </c>
      <c r="M176" s="507">
        <f>IF(M168&lt;0,0,M168*地域経済性分析・初期条件!$K$39)</f>
        <v>0</v>
      </c>
      <c r="N176" s="507">
        <f>IF(N168&lt;0,0,N168*地域経済性分析・初期条件!$K$39)</f>
        <v>0</v>
      </c>
      <c r="O176" s="507">
        <f>IF(O168&lt;0,0,O168*地域経済性分析・初期条件!$K$39)</f>
        <v>0</v>
      </c>
      <c r="P176" s="507">
        <f>IF(P168&lt;0,0,P168*地域経済性分析・初期条件!$K$39)</f>
        <v>0</v>
      </c>
      <c r="Q176" s="507">
        <f>IF(Q168&lt;0,0,Q168*地域経済性分析・初期条件!$K$39)</f>
        <v>0</v>
      </c>
      <c r="R176" s="507">
        <f>IF(R168&lt;0,0,R168*地域経済性分析・初期条件!$K$39)</f>
        <v>0</v>
      </c>
      <c r="S176" s="507">
        <f>IF(S168&lt;0,0,S168*地域経済性分析・初期条件!$K$39)</f>
        <v>0</v>
      </c>
      <c r="T176" s="507">
        <f>IF(T168&lt;0,0,T168*地域経済性分析・初期条件!$K$39)</f>
        <v>0</v>
      </c>
      <c r="U176" s="507">
        <f>IF(U168&lt;0,0,U168*地域経済性分析・初期条件!$K$39)</f>
        <v>0</v>
      </c>
      <c r="V176" s="507">
        <f>IF(V168&lt;0,0,V168*地域経済性分析・初期条件!$K$39)</f>
        <v>0</v>
      </c>
      <c r="W176" s="507">
        <f>IF(W168&lt;0,0,W168*地域経済性分析・初期条件!$K$39)</f>
        <v>0</v>
      </c>
      <c r="X176" s="507">
        <f>IF(X168&lt;0,0,X168*地域経済性分析・初期条件!$K$39)</f>
        <v>0</v>
      </c>
      <c r="Y176" s="507">
        <f>IF(Y168&lt;0,0,Y168*地域経済性分析・初期条件!$K$39)</f>
        <v>0</v>
      </c>
      <c r="Z176" s="507">
        <f>IF(Z168&lt;0,0,Z168*地域経済性分析・初期条件!$K$39)</f>
        <v>0</v>
      </c>
      <c r="AA176" s="507">
        <f>IF(AA168&lt;0,0,AA168*地域経済性分析・初期条件!$K$39)</f>
        <v>0</v>
      </c>
      <c r="AB176" s="507">
        <f>IF(AB168&lt;0,0,AB168*地域経済性分析・初期条件!$K$39)</f>
        <v>0</v>
      </c>
      <c r="AC176" s="507">
        <f>IF(AC168&lt;0,0,AC168*地域経済性分析・初期条件!$K$39)</f>
        <v>0</v>
      </c>
      <c r="AD176" s="507">
        <f>IF(AD168&lt;0,0,AD168*地域経済性分析・初期条件!$K$39)</f>
        <v>0</v>
      </c>
      <c r="AE176" s="507">
        <f>IF(AE168&lt;0,0,AE168*地域経済性分析・初期条件!$K$39)</f>
        <v>0</v>
      </c>
      <c r="AF176" s="507">
        <f>IF(AF168&lt;0,0,AF168*地域経済性分析・初期条件!$K$39)</f>
        <v>0</v>
      </c>
      <c r="AG176" s="507">
        <f>IF(AG168&lt;0,0,AG168*地域経済性分析・初期条件!$K$39)</f>
        <v>0</v>
      </c>
      <c r="AH176" s="507">
        <f>IF(AH168&lt;0,0,AH168*地域経済性分析・初期条件!$K$39)</f>
        <v>0</v>
      </c>
      <c r="AI176" s="548">
        <f t="shared" si="58"/>
        <v>0</v>
      </c>
      <c r="AJ176" s="548">
        <f t="shared" si="59"/>
        <v>0</v>
      </c>
      <c r="AK176" s="510">
        <f t="shared" si="60"/>
        <v>0</v>
      </c>
    </row>
    <row r="177" spans="1:37" ht="11.5" x14ac:dyDescent="0.25">
      <c r="A177" s="546" t="str">
        <f>A167&amp;B177</f>
        <v>0従業員の可処分所得（二次以降）</v>
      </c>
      <c r="B177" s="452" t="s">
        <v>344</v>
      </c>
      <c r="C177" s="465" t="s">
        <v>37</v>
      </c>
      <c r="D177" s="507">
        <f>D168*地域経済性分析・初期条件!$L$39</f>
        <v>0</v>
      </c>
      <c r="E177" s="507">
        <f>IF(E168&lt;0,0,E168*地域経済性分析・初期条件!$L$39)</f>
        <v>0</v>
      </c>
      <c r="F177" s="507">
        <f>IF(F168&lt;0,0,F168*地域経済性分析・初期条件!$L$39)</f>
        <v>0</v>
      </c>
      <c r="G177" s="507">
        <f>IF(G168&lt;0,0,G168*地域経済性分析・初期条件!$L$39)</f>
        <v>0</v>
      </c>
      <c r="H177" s="507">
        <f>IF(H168&lt;0,0,H168*地域経済性分析・初期条件!$L$39)</f>
        <v>0</v>
      </c>
      <c r="I177" s="507">
        <f>IF(I168&lt;0,0,I168*地域経済性分析・初期条件!$L$39)</f>
        <v>0</v>
      </c>
      <c r="J177" s="507">
        <f>IF(J168&lt;0,0,J168*地域経済性分析・初期条件!$L$39)</f>
        <v>0</v>
      </c>
      <c r="K177" s="507">
        <f>IF(K168&lt;0,0,K168*地域経済性分析・初期条件!$L$39)</f>
        <v>0</v>
      </c>
      <c r="L177" s="507">
        <f>IF(L168&lt;0,0,L168*地域経済性分析・初期条件!$L$39)</f>
        <v>0</v>
      </c>
      <c r="M177" s="507">
        <f>IF(M168&lt;0,0,M168*地域経済性分析・初期条件!$L$39)</f>
        <v>0</v>
      </c>
      <c r="N177" s="507">
        <f>IF(N168&lt;0,0,N168*地域経済性分析・初期条件!$L$39)</f>
        <v>0</v>
      </c>
      <c r="O177" s="507">
        <f>IF(O168&lt;0,0,O168*地域経済性分析・初期条件!$L$39)</f>
        <v>0</v>
      </c>
      <c r="P177" s="507">
        <f>IF(P168&lt;0,0,P168*地域経済性分析・初期条件!$L$39)</f>
        <v>0</v>
      </c>
      <c r="Q177" s="507">
        <f>IF(Q168&lt;0,0,Q168*地域経済性分析・初期条件!$L$39)</f>
        <v>0</v>
      </c>
      <c r="R177" s="507">
        <f>IF(R168&lt;0,0,R168*地域経済性分析・初期条件!$L$39)</f>
        <v>0</v>
      </c>
      <c r="S177" s="507">
        <f>IF(S168&lt;0,0,S168*地域経済性分析・初期条件!$L$39)</f>
        <v>0</v>
      </c>
      <c r="T177" s="507">
        <f>IF(T168&lt;0,0,T168*地域経済性分析・初期条件!$L$39)</f>
        <v>0</v>
      </c>
      <c r="U177" s="507">
        <f>IF(U168&lt;0,0,U168*地域経済性分析・初期条件!$L$39)</f>
        <v>0</v>
      </c>
      <c r="V177" s="507">
        <f>IF(V168&lt;0,0,V168*地域経済性分析・初期条件!$L$39)</f>
        <v>0</v>
      </c>
      <c r="W177" s="507">
        <f>IF(W168&lt;0,0,W168*地域経済性分析・初期条件!$L$39)</f>
        <v>0</v>
      </c>
      <c r="X177" s="507">
        <f>IF(X168&lt;0,0,X168*地域経済性分析・初期条件!$L$39)</f>
        <v>0</v>
      </c>
      <c r="Y177" s="507">
        <f>IF(Y168&lt;0,0,Y168*地域経済性分析・初期条件!$L$39)</f>
        <v>0</v>
      </c>
      <c r="Z177" s="507">
        <f>IF(Z168&lt;0,0,Z168*地域経済性分析・初期条件!$L$39)</f>
        <v>0</v>
      </c>
      <c r="AA177" s="507">
        <f>IF(AA168&lt;0,0,AA168*地域経済性分析・初期条件!$L$39)</f>
        <v>0</v>
      </c>
      <c r="AB177" s="507">
        <f>IF(AB168&lt;0,0,AB168*地域経済性分析・初期条件!$L$39)</f>
        <v>0</v>
      </c>
      <c r="AC177" s="507">
        <f>IF(AC168&lt;0,0,AC168*地域経済性分析・初期条件!$L$39)</f>
        <v>0</v>
      </c>
      <c r="AD177" s="507">
        <f>IF(AD168&lt;0,0,AD168*地域経済性分析・初期条件!$L$39)</f>
        <v>0</v>
      </c>
      <c r="AE177" s="507">
        <f>IF(AE168&lt;0,0,AE168*地域経済性分析・初期条件!$L$39)</f>
        <v>0</v>
      </c>
      <c r="AF177" s="507">
        <f>IF(AF168&lt;0,0,AF168*地域経済性分析・初期条件!$L$39)</f>
        <v>0</v>
      </c>
      <c r="AG177" s="507">
        <f>IF(AG168&lt;0,0,AG168*地域経済性分析・初期条件!$L$39)</f>
        <v>0</v>
      </c>
      <c r="AH177" s="507">
        <f>IF(AH168&lt;0,0,AH168*地域経済性分析・初期条件!$L$39)</f>
        <v>0</v>
      </c>
      <c r="AI177" s="548">
        <f>SUM(D177:N177)</f>
        <v>0</v>
      </c>
      <c r="AJ177" s="548">
        <f>SUM(D177:X177)</f>
        <v>0</v>
      </c>
      <c r="AK177" s="510">
        <f>SUM(D177:AH177)</f>
        <v>0</v>
      </c>
    </row>
    <row r="178" spans="1:37" ht="11.5" x14ac:dyDescent="0.25">
      <c r="A178" s="546" t="str">
        <f>A167&amp;B178</f>
        <v>0企業の税引後利益（二次以降）</v>
      </c>
      <c r="B178" s="452" t="s">
        <v>345</v>
      </c>
      <c r="C178" s="465" t="s">
        <v>37</v>
      </c>
      <c r="D178" s="507">
        <f>D168*地域経済性分析・初期条件!$M$39</f>
        <v>0</v>
      </c>
      <c r="E178" s="507">
        <f>IF(E168&lt;0,0,E168*地域経済性分析・初期条件!$M$39)</f>
        <v>0</v>
      </c>
      <c r="F178" s="507">
        <f>IF(F168&lt;0,0,F168*地域経済性分析・初期条件!$M$39)</f>
        <v>0</v>
      </c>
      <c r="G178" s="507">
        <f>IF(G168&lt;0,0,G168*地域経済性分析・初期条件!$M$39)</f>
        <v>0</v>
      </c>
      <c r="H178" s="507">
        <f>IF(H168&lt;0,0,H168*地域経済性分析・初期条件!$M$39)</f>
        <v>0</v>
      </c>
      <c r="I178" s="507">
        <f>IF(I168&lt;0,0,I168*地域経済性分析・初期条件!$M$39)</f>
        <v>0</v>
      </c>
      <c r="J178" s="507">
        <f>IF(J168&lt;0,0,J168*地域経済性分析・初期条件!$M$39)</f>
        <v>0</v>
      </c>
      <c r="K178" s="507">
        <f>IF(K168&lt;0,0,K168*地域経済性分析・初期条件!$M$39)</f>
        <v>0</v>
      </c>
      <c r="L178" s="507">
        <f>IF(L168&lt;0,0,L168*地域経済性分析・初期条件!$M$39)</f>
        <v>0</v>
      </c>
      <c r="M178" s="507">
        <f>IF(M168&lt;0,0,M168*地域経済性分析・初期条件!$M$39)</f>
        <v>0</v>
      </c>
      <c r="N178" s="507">
        <f>IF(N168&lt;0,0,N168*地域経済性分析・初期条件!$M$39)</f>
        <v>0</v>
      </c>
      <c r="O178" s="507">
        <f>IF(O168&lt;0,0,O168*地域経済性分析・初期条件!$M$39)</f>
        <v>0</v>
      </c>
      <c r="P178" s="507">
        <f>IF(P168&lt;0,0,P168*地域経済性分析・初期条件!$M$39)</f>
        <v>0</v>
      </c>
      <c r="Q178" s="507">
        <f>IF(Q168&lt;0,0,Q168*地域経済性分析・初期条件!$M$39)</f>
        <v>0</v>
      </c>
      <c r="R178" s="507">
        <f>IF(R168&lt;0,0,R168*地域経済性分析・初期条件!$M$39)</f>
        <v>0</v>
      </c>
      <c r="S178" s="507">
        <f>IF(S168&lt;0,0,S168*地域経済性分析・初期条件!$M$39)</f>
        <v>0</v>
      </c>
      <c r="T178" s="507">
        <f>IF(T168&lt;0,0,T168*地域経済性分析・初期条件!$M$39)</f>
        <v>0</v>
      </c>
      <c r="U178" s="507">
        <f>IF(U168&lt;0,0,U168*地域経済性分析・初期条件!$M$39)</f>
        <v>0</v>
      </c>
      <c r="V178" s="507">
        <f>IF(V168&lt;0,0,V168*地域経済性分析・初期条件!$M$39)</f>
        <v>0</v>
      </c>
      <c r="W178" s="507">
        <f>IF(W168&lt;0,0,W168*地域経済性分析・初期条件!$M$39)</f>
        <v>0</v>
      </c>
      <c r="X178" s="507">
        <f>IF(X168&lt;0,0,X168*地域経済性分析・初期条件!$M$39)</f>
        <v>0</v>
      </c>
      <c r="Y178" s="507">
        <f>IF(Y168&lt;0,0,Y168*地域経済性分析・初期条件!$M$39)</f>
        <v>0</v>
      </c>
      <c r="Z178" s="507">
        <f>IF(Z168&lt;0,0,Z168*地域経済性分析・初期条件!$M$39)</f>
        <v>0</v>
      </c>
      <c r="AA178" s="507">
        <f>IF(AA168&lt;0,0,AA168*地域経済性分析・初期条件!$M$39)</f>
        <v>0</v>
      </c>
      <c r="AB178" s="507">
        <f>IF(AB168&lt;0,0,AB168*地域経済性分析・初期条件!$M$39)</f>
        <v>0</v>
      </c>
      <c r="AC178" s="507">
        <f>IF(AC168&lt;0,0,AC168*地域経済性分析・初期条件!$M$39)</f>
        <v>0</v>
      </c>
      <c r="AD178" s="507">
        <f>IF(AD168&lt;0,0,AD168*地域経済性分析・初期条件!$M$39)</f>
        <v>0</v>
      </c>
      <c r="AE178" s="507">
        <f>IF(AE168&lt;0,0,AE168*地域経済性分析・初期条件!$M$39)</f>
        <v>0</v>
      </c>
      <c r="AF178" s="507">
        <f>IF(AF168&lt;0,0,AF168*地域経済性分析・初期条件!$M$39)</f>
        <v>0</v>
      </c>
      <c r="AG178" s="507">
        <f>IF(AG168&lt;0,0,AG168*地域経済性分析・初期条件!$M$39)</f>
        <v>0</v>
      </c>
      <c r="AH178" s="507">
        <f>IF(AH168&lt;0,0,AH168*地域経済性分析・初期条件!$M$39)</f>
        <v>0</v>
      </c>
      <c r="AI178" s="548">
        <f>SUM(D178:N178)</f>
        <v>0</v>
      </c>
      <c r="AJ178" s="548">
        <f>SUM(D178:X178)</f>
        <v>0</v>
      </c>
      <c r="AK178" s="510">
        <f>SUM(D178:AH178)</f>
        <v>0</v>
      </c>
    </row>
    <row r="179" spans="1:37" ht="11.5" x14ac:dyDescent="0.25">
      <c r="A179" s="546" t="str">
        <f>A167&amp;B179</f>
        <v>0都道府県税収（二次以降）</v>
      </c>
      <c r="B179" s="452" t="s">
        <v>346</v>
      </c>
      <c r="C179" s="465" t="s">
        <v>37</v>
      </c>
      <c r="D179" s="507">
        <f>D168*地域経済性分析・初期条件!$N$39</f>
        <v>0</v>
      </c>
      <c r="E179" s="507">
        <f>IF(E168&lt;0,0,E168*地域経済性分析・初期条件!$N$39)</f>
        <v>0</v>
      </c>
      <c r="F179" s="507">
        <f>IF(F168&lt;0,0,F168*地域経済性分析・初期条件!$N$39)</f>
        <v>0</v>
      </c>
      <c r="G179" s="507">
        <f>IF(G168&lt;0,0,G168*地域経済性分析・初期条件!$N$39)</f>
        <v>0</v>
      </c>
      <c r="H179" s="507">
        <f>IF(H168&lt;0,0,H168*地域経済性分析・初期条件!$N$39)</f>
        <v>0</v>
      </c>
      <c r="I179" s="507">
        <f>IF(I168&lt;0,0,I168*地域経済性分析・初期条件!$N$39)</f>
        <v>0</v>
      </c>
      <c r="J179" s="507">
        <f>IF(J168&lt;0,0,J168*地域経済性分析・初期条件!$N$39)</f>
        <v>0</v>
      </c>
      <c r="K179" s="507">
        <f>IF(K168&lt;0,0,K168*地域経済性分析・初期条件!$N$39)</f>
        <v>0</v>
      </c>
      <c r="L179" s="507">
        <f>IF(L168&lt;0,0,L168*地域経済性分析・初期条件!$N$39)</f>
        <v>0</v>
      </c>
      <c r="M179" s="507">
        <f>IF(M168&lt;0,0,M168*地域経済性分析・初期条件!$N$39)</f>
        <v>0</v>
      </c>
      <c r="N179" s="507">
        <f>IF(N168&lt;0,0,N168*地域経済性分析・初期条件!$N$39)</f>
        <v>0</v>
      </c>
      <c r="O179" s="507">
        <f>IF(O168&lt;0,0,O168*地域経済性分析・初期条件!$N$39)</f>
        <v>0</v>
      </c>
      <c r="P179" s="507">
        <f>IF(P168&lt;0,0,P168*地域経済性分析・初期条件!$N$39)</f>
        <v>0</v>
      </c>
      <c r="Q179" s="507">
        <f>IF(Q168&lt;0,0,Q168*地域経済性分析・初期条件!$N$39)</f>
        <v>0</v>
      </c>
      <c r="R179" s="507">
        <f>IF(R168&lt;0,0,R168*地域経済性分析・初期条件!$N$39)</f>
        <v>0</v>
      </c>
      <c r="S179" s="507">
        <f>IF(S168&lt;0,0,S168*地域経済性分析・初期条件!$N$39)</f>
        <v>0</v>
      </c>
      <c r="T179" s="507">
        <f>IF(T168&lt;0,0,T168*地域経済性分析・初期条件!$N$39)</f>
        <v>0</v>
      </c>
      <c r="U179" s="507">
        <f>IF(U168&lt;0,0,U168*地域経済性分析・初期条件!$N$39)</f>
        <v>0</v>
      </c>
      <c r="V179" s="507">
        <f>IF(V168&lt;0,0,V168*地域経済性分析・初期条件!$N$39)</f>
        <v>0</v>
      </c>
      <c r="W179" s="507">
        <f>IF(W168&lt;0,0,W168*地域経済性分析・初期条件!$N$39)</f>
        <v>0</v>
      </c>
      <c r="X179" s="507">
        <f>IF(X168&lt;0,0,X168*地域経済性分析・初期条件!$N$39)</f>
        <v>0</v>
      </c>
      <c r="Y179" s="507">
        <f>IF(Y168&lt;0,0,Y168*地域経済性分析・初期条件!$N$39)</f>
        <v>0</v>
      </c>
      <c r="Z179" s="507">
        <f>IF(Z168&lt;0,0,Z168*地域経済性分析・初期条件!$N$39)</f>
        <v>0</v>
      </c>
      <c r="AA179" s="507">
        <f>IF(AA168&lt;0,0,AA168*地域経済性分析・初期条件!$N$39)</f>
        <v>0</v>
      </c>
      <c r="AB179" s="507">
        <f>IF(AB168&lt;0,0,AB168*地域経済性分析・初期条件!$N$39)</f>
        <v>0</v>
      </c>
      <c r="AC179" s="507">
        <f>IF(AC168&lt;0,0,AC168*地域経済性分析・初期条件!$N$39)</f>
        <v>0</v>
      </c>
      <c r="AD179" s="507">
        <f>IF(AD168&lt;0,0,AD168*地域経済性分析・初期条件!$N$39)</f>
        <v>0</v>
      </c>
      <c r="AE179" s="507">
        <f>IF(AE168&lt;0,0,AE168*地域経済性分析・初期条件!$N$39)</f>
        <v>0</v>
      </c>
      <c r="AF179" s="507">
        <f>IF(AF168&lt;0,0,AF168*地域経済性分析・初期条件!$N$39)</f>
        <v>0</v>
      </c>
      <c r="AG179" s="507">
        <f>IF(AG168&lt;0,0,AG168*地域経済性分析・初期条件!$N$39)</f>
        <v>0</v>
      </c>
      <c r="AH179" s="507">
        <f>IF(AH168&lt;0,0,AH168*地域経済性分析・初期条件!$N$39)</f>
        <v>0</v>
      </c>
      <c r="AI179" s="548">
        <f>SUM(D179:N179)</f>
        <v>0</v>
      </c>
      <c r="AJ179" s="548">
        <f>SUM(D179:X179)</f>
        <v>0</v>
      </c>
      <c r="AK179" s="510">
        <f>SUM(D179:AH179)</f>
        <v>0</v>
      </c>
    </row>
    <row r="180" spans="1:37" ht="12" thickBot="1" x14ac:dyDescent="0.3">
      <c r="A180" s="682" t="str">
        <f>A167&amp;B180</f>
        <v>0市町村税収（二次以降）</v>
      </c>
      <c r="B180" s="683" t="s">
        <v>347</v>
      </c>
      <c r="C180" s="684" t="s">
        <v>37</v>
      </c>
      <c r="D180" s="685">
        <f>D168*地域経済性分析・初期条件!$O$39</f>
        <v>0</v>
      </c>
      <c r="E180" s="685">
        <f>IF(E168&lt;0,0,E168*地域経済性分析・初期条件!$O$39)</f>
        <v>0</v>
      </c>
      <c r="F180" s="685">
        <f>IF(F168&lt;0,0,F168*地域経済性分析・初期条件!$O$39)</f>
        <v>0</v>
      </c>
      <c r="G180" s="685">
        <f>IF(G168&lt;0,0,G168*地域経済性分析・初期条件!$O$39)</f>
        <v>0</v>
      </c>
      <c r="H180" s="685">
        <f>IF(H168&lt;0,0,H168*地域経済性分析・初期条件!$O$39)</f>
        <v>0</v>
      </c>
      <c r="I180" s="685">
        <f>IF(I168&lt;0,0,I168*地域経済性分析・初期条件!$O$39)</f>
        <v>0</v>
      </c>
      <c r="J180" s="685">
        <f>IF(J168&lt;0,0,J168*地域経済性分析・初期条件!$O$39)</f>
        <v>0</v>
      </c>
      <c r="K180" s="685">
        <f>IF(K168&lt;0,0,K168*地域経済性分析・初期条件!$O$39)</f>
        <v>0</v>
      </c>
      <c r="L180" s="685">
        <f>IF(L168&lt;0,0,L168*地域経済性分析・初期条件!$O$39)</f>
        <v>0</v>
      </c>
      <c r="M180" s="685">
        <f>IF(M168&lt;0,0,M168*地域経済性分析・初期条件!$O$39)</f>
        <v>0</v>
      </c>
      <c r="N180" s="685">
        <f>IF(N168&lt;0,0,N168*地域経済性分析・初期条件!$O$39)</f>
        <v>0</v>
      </c>
      <c r="O180" s="685">
        <f>IF(O168&lt;0,0,O168*地域経済性分析・初期条件!$O$39)</f>
        <v>0</v>
      </c>
      <c r="P180" s="685">
        <f>IF(P168&lt;0,0,P168*地域経済性分析・初期条件!$O$39)</f>
        <v>0</v>
      </c>
      <c r="Q180" s="685">
        <f>IF(Q168&lt;0,0,Q168*地域経済性分析・初期条件!$O$39)</f>
        <v>0</v>
      </c>
      <c r="R180" s="685">
        <f>IF(R168&lt;0,0,R168*地域経済性分析・初期条件!$O$39)</f>
        <v>0</v>
      </c>
      <c r="S180" s="685">
        <f>IF(S168&lt;0,0,S168*地域経済性分析・初期条件!$O$39)</f>
        <v>0</v>
      </c>
      <c r="T180" s="685">
        <f>IF(T168&lt;0,0,T168*地域経済性分析・初期条件!$O$39)</f>
        <v>0</v>
      </c>
      <c r="U180" s="685">
        <f>IF(U168&lt;0,0,U168*地域経済性分析・初期条件!$O$39)</f>
        <v>0</v>
      </c>
      <c r="V180" s="685">
        <f>IF(V168&lt;0,0,V168*地域経済性分析・初期条件!$O$39)</f>
        <v>0</v>
      </c>
      <c r="W180" s="685">
        <f>IF(W168&lt;0,0,W168*地域経済性分析・初期条件!$O$39)</f>
        <v>0</v>
      </c>
      <c r="X180" s="685">
        <f>IF(X168&lt;0,0,X168*地域経済性分析・初期条件!$O$39)</f>
        <v>0</v>
      </c>
      <c r="Y180" s="685">
        <f>IF(Y168&lt;0,0,Y168*地域経済性分析・初期条件!$O$39)</f>
        <v>0</v>
      </c>
      <c r="Z180" s="685">
        <f>IF(Z168&lt;0,0,Z168*地域経済性分析・初期条件!$O$39)</f>
        <v>0</v>
      </c>
      <c r="AA180" s="685">
        <f>IF(AA168&lt;0,0,AA168*地域経済性分析・初期条件!$O$39)</f>
        <v>0</v>
      </c>
      <c r="AB180" s="685">
        <f>IF(AB168&lt;0,0,AB168*地域経済性分析・初期条件!$O$39)</f>
        <v>0</v>
      </c>
      <c r="AC180" s="685">
        <f>IF(AC168&lt;0,0,AC168*地域経済性分析・初期条件!$O$39)</f>
        <v>0</v>
      </c>
      <c r="AD180" s="685">
        <f>IF(AD168&lt;0,0,AD168*地域経済性分析・初期条件!$O$39)</f>
        <v>0</v>
      </c>
      <c r="AE180" s="685">
        <f>IF(AE168&lt;0,0,AE168*地域経済性分析・初期条件!$O$39)</f>
        <v>0</v>
      </c>
      <c r="AF180" s="685">
        <f>IF(AF168&lt;0,0,AF168*地域経済性分析・初期条件!$O$39)</f>
        <v>0</v>
      </c>
      <c r="AG180" s="685">
        <f>IF(AG168&lt;0,0,AG168*地域経済性分析・初期条件!$O$39)</f>
        <v>0</v>
      </c>
      <c r="AH180" s="685">
        <f>IF(AH168&lt;0,0,AH168*地域経済性分析・初期条件!$O$39)</f>
        <v>0</v>
      </c>
      <c r="AI180" s="687">
        <f>SUM(D180:N180)</f>
        <v>0</v>
      </c>
      <c r="AJ180" s="687">
        <f>SUM(D180:X180)</f>
        <v>0</v>
      </c>
      <c r="AK180" s="688">
        <f>SUM(D180:AH180)</f>
        <v>0</v>
      </c>
    </row>
    <row r="181" spans="1:37" ht="12" thickTop="1" x14ac:dyDescent="0.25">
      <c r="A181" s="1256" t="s">
        <v>1049</v>
      </c>
      <c r="B181" s="452"/>
      <c r="C181" s="465" t="s">
        <v>1050</v>
      </c>
      <c r="D181" s="507">
        <f>SUM(D145:D152,D159:D166,,D173:D180)</f>
        <v>0</v>
      </c>
      <c r="E181" s="507">
        <f t="shared" ref="E181:AK181" si="61">SUM(E145:E152,E159:E166,,E173:E180)</f>
        <v>0</v>
      </c>
      <c r="F181" s="507">
        <f t="shared" si="61"/>
        <v>0</v>
      </c>
      <c r="G181" s="507">
        <f t="shared" si="61"/>
        <v>0</v>
      </c>
      <c r="H181" s="507">
        <f t="shared" si="61"/>
        <v>0</v>
      </c>
      <c r="I181" s="507">
        <f t="shared" si="61"/>
        <v>0</v>
      </c>
      <c r="J181" s="507">
        <f t="shared" si="61"/>
        <v>0</v>
      </c>
      <c r="K181" s="507">
        <f t="shared" si="61"/>
        <v>0</v>
      </c>
      <c r="L181" s="507">
        <f t="shared" si="61"/>
        <v>0</v>
      </c>
      <c r="M181" s="507">
        <f t="shared" si="61"/>
        <v>0</v>
      </c>
      <c r="N181" s="507">
        <f t="shared" si="61"/>
        <v>0</v>
      </c>
      <c r="O181" s="507">
        <f t="shared" si="61"/>
        <v>0</v>
      </c>
      <c r="P181" s="507">
        <f t="shared" si="61"/>
        <v>0</v>
      </c>
      <c r="Q181" s="507">
        <f t="shared" si="61"/>
        <v>0</v>
      </c>
      <c r="R181" s="507">
        <f t="shared" si="61"/>
        <v>0</v>
      </c>
      <c r="S181" s="507">
        <f t="shared" si="61"/>
        <v>0</v>
      </c>
      <c r="T181" s="507">
        <f t="shared" si="61"/>
        <v>0</v>
      </c>
      <c r="U181" s="507">
        <f t="shared" si="61"/>
        <v>0</v>
      </c>
      <c r="V181" s="507">
        <f t="shared" si="61"/>
        <v>0</v>
      </c>
      <c r="W181" s="507">
        <f t="shared" si="61"/>
        <v>0</v>
      </c>
      <c r="X181" s="507">
        <f t="shared" si="61"/>
        <v>0</v>
      </c>
      <c r="Y181" s="507">
        <f t="shared" si="61"/>
        <v>0</v>
      </c>
      <c r="Z181" s="507">
        <f t="shared" si="61"/>
        <v>0</v>
      </c>
      <c r="AA181" s="507">
        <f t="shared" si="61"/>
        <v>0</v>
      </c>
      <c r="AB181" s="507">
        <f t="shared" si="61"/>
        <v>0</v>
      </c>
      <c r="AC181" s="507">
        <f t="shared" si="61"/>
        <v>0</v>
      </c>
      <c r="AD181" s="507">
        <f t="shared" si="61"/>
        <v>0</v>
      </c>
      <c r="AE181" s="507">
        <f t="shared" si="61"/>
        <v>0</v>
      </c>
      <c r="AF181" s="507">
        <f t="shared" si="61"/>
        <v>0</v>
      </c>
      <c r="AG181" s="507">
        <f t="shared" si="61"/>
        <v>0</v>
      </c>
      <c r="AH181" s="507">
        <f t="shared" si="61"/>
        <v>0</v>
      </c>
      <c r="AI181" s="548">
        <f t="shared" si="61"/>
        <v>0</v>
      </c>
      <c r="AJ181" s="548">
        <f t="shared" si="61"/>
        <v>0</v>
      </c>
      <c r="AK181" s="510">
        <f t="shared" si="61"/>
        <v>0</v>
      </c>
    </row>
    <row r="182" spans="1:37" ht="11.5" x14ac:dyDescent="0.25">
      <c r="A182" s="1257" t="s">
        <v>1051</v>
      </c>
      <c r="B182" s="1258"/>
      <c r="C182" s="1259" t="s">
        <v>37</v>
      </c>
      <c r="D182" s="1254">
        <f>IF(D138&lt;0,0,D138*1.1-D181)</f>
        <v>0</v>
      </c>
      <c r="E182" s="1254">
        <f t="shared" ref="E182:AH182" si="62">IF(E138&lt;0,0,E138*1.1-E181)</f>
        <v>0</v>
      </c>
      <c r="F182" s="1254">
        <f t="shared" si="62"/>
        <v>0</v>
      </c>
      <c r="G182" s="1254">
        <f t="shared" si="62"/>
        <v>0</v>
      </c>
      <c r="H182" s="1254">
        <f t="shared" si="62"/>
        <v>0</v>
      </c>
      <c r="I182" s="1254">
        <f t="shared" si="62"/>
        <v>0</v>
      </c>
      <c r="J182" s="1254">
        <f t="shared" si="62"/>
        <v>0</v>
      </c>
      <c r="K182" s="1254">
        <f t="shared" si="62"/>
        <v>0</v>
      </c>
      <c r="L182" s="1254">
        <f t="shared" si="62"/>
        <v>0</v>
      </c>
      <c r="M182" s="1254">
        <f t="shared" si="62"/>
        <v>0</v>
      </c>
      <c r="N182" s="1254">
        <f t="shared" si="62"/>
        <v>0</v>
      </c>
      <c r="O182" s="1254">
        <f t="shared" si="62"/>
        <v>0</v>
      </c>
      <c r="P182" s="1254">
        <f t="shared" si="62"/>
        <v>0</v>
      </c>
      <c r="Q182" s="1254">
        <f t="shared" si="62"/>
        <v>0</v>
      </c>
      <c r="R182" s="1254">
        <f t="shared" si="62"/>
        <v>0</v>
      </c>
      <c r="S182" s="1254">
        <f t="shared" si="62"/>
        <v>0</v>
      </c>
      <c r="T182" s="1254">
        <f t="shared" si="62"/>
        <v>0</v>
      </c>
      <c r="U182" s="1254">
        <f t="shared" si="62"/>
        <v>0</v>
      </c>
      <c r="V182" s="1254">
        <f t="shared" si="62"/>
        <v>0</v>
      </c>
      <c r="W182" s="1254">
        <f t="shared" si="62"/>
        <v>0</v>
      </c>
      <c r="X182" s="1254">
        <f t="shared" si="62"/>
        <v>0</v>
      </c>
      <c r="Y182" s="1254">
        <f t="shared" si="62"/>
        <v>0</v>
      </c>
      <c r="Z182" s="1254">
        <f t="shared" si="62"/>
        <v>0</v>
      </c>
      <c r="AA182" s="1254">
        <f t="shared" si="62"/>
        <v>0</v>
      </c>
      <c r="AB182" s="1254">
        <f t="shared" si="62"/>
        <v>0</v>
      </c>
      <c r="AC182" s="1254">
        <f t="shared" si="62"/>
        <v>0</v>
      </c>
      <c r="AD182" s="1254">
        <f t="shared" si="62"/>
        <v>0</v>
      </c>
      <c r="AE182" s="1254">
        <f t="shared" si="62"/>
        <v>0</v>
      </c>
      <c r="AF182" s="1254">
        <f t="shared" si="62"/>
        <v>0</v>
      </c>
      <c r="AG182" s="1254">
        <f t="shared" si="62"/>
        <v>0</v>
      </c>
      <c r="AH182" s="1254">
        <f t="shared" si="62"/>
        <v>0</v>
      </c>
      <c r="AI182" s="550">
        <f t="shared" ref="AI182:AK182" si="63">AI138-AI181</f>
        <v>-2310000000</v>
      </c>
      <c r="AJ182" s="550">
        <f t="shared" si="63"/>
        <v>-4620000000</v>
      </c>
      <c r="AK182" s="551">
        <f t="shared" si="63"/>
        <v>-6930000000</v>
      </c>
    </row>
    <row r="183" spans="1:37" ht="11.5" x14ac:dyDescent="0.25">
      <c r="A183" s="452" t="str">
        <f>B32</f>
        <v>薬剤・消耗品費用</v>
      </c>
      <c r="B183" s="426"/>
      <c r="C183" s="464" t="s">
        <v>37</v>
      </c>
      <c r="D183" s="507"/>
      <c r="E183" s="507">
        <f t="shared" ref="E183:AH183" si="64">E32</f>
        <v>57525830.544324234</v>
      </c>
      <c r="F183" s="507">
        <f t="shared" si="64"/>
        <v>57525830.544324234</v>
      </c>
      <c r="G183" s="507">
        <f t="shared" si="64"/>
        <v>57525830.544324234</v>
      </c>
      <c r="H183" s="507">
        <f t="shared" si="64"/>
        <v>57525830.544324234</v>
      </c>
      <c r="I183" s="507">
        <f t="shared" si="64"/>
        <v>57525830.544324234</v>
      </c>
      <c r="J183" s="507">
        <f t="shared" si="64"/>
        <v>57525830.544324234</v>
      </c>
      <c r="K183" s="507">
        <f t="shared" si="64"/>
        <v>57525830.544324234</v>
      </c>
      <c r="L183" s="507">
        <f t="shared" si="64"/>
        <v>57525830.544324234</v>
      </c>
      <c r="M183" s="507">
        <f t="shared" si="64"/>
        <v>57525830.544324234</v>
      </c>
      <c r="N183" s="507">
        <f t="shared" si="64"/>
        <v>57525830.544324234</v>
      </c>
      <c r="O183" s="507">
        <f t="shared" si="64"/>
        <v>57525830.544324234</v>
      </c>
      <c r="P183" s="507">
        <f t="shared" si="64"/>
        <v>57525830.544324234</v>
      </c>
      <c r="Q183" s="507">
        <f t="shared" si="64"/>
        <v>57525830.544324234</v>
      </c>
      <c r="R183" s="507">
        <f t="shared" si="64"/>
        <v>57525830.544324234</v>
      </c>
      <c r="S183" s="507">
        <f t="shared" si="64"/>
        <v>57525830.544324234</v>
      </c>
      <c r="T183" s="507">
        <f t="shared" si="64"/>
        <v>57525830.544324234</v>
      </c>
      <c r="U183" s="507">
        <f t="shared" si="64"/>
        <v>57525830.544324234</v>
      </c>
      <c r="V183" s="507">
        <f t="shared" si="64"/>
        <v>57525830.544324234</v>
      </c>
      <c r="W183" s="507">
        <f t="shared" si="64"/>
        <v>57525830.544324234</v>
      </c>
      <c r="X183" s="507">
        <f t="shared" si="64"/>
        <v>57525830.544324234</v>
      </c>
      <c r="Y183" s="507">
        <f t="shared" si="64"/>
        <v>57525830.544324234</v>
      </c>
      <c r="Z183" s="507">
        <f t="shared" si="64"/>
        <v>57525830.544324234</v>
      </c>
      <c r="AA183" s="507">
        <f t="shared" si="64"/>
        <v>57525830.544324234</v>
      </c>
      <c r="AB183" s="507">
        <f t="shared" si="64"/>
        <v>57525830.544324234</v>
      </c>
      <c r="AC183" s="507">
        <f t="shared" si="64"/>
        <v>57525830.544324234</v>
      </c>
      <c r="AD183" s="507">
        <f t="shared" si="64"/>
        <v>57525830.544324234</v>
      </c>
      <c r="AE183" s="507">
        <f t="shared" si="64"/>
        <v>57525830.544324234</v>
      </c>
      <c r="AF183" s="507">
        <f t="shared" si="64"/>
        <v>57525830.544324234</v>
      </c>
      <c r="AG183" s="507">
        <f t="shared" si="64"/>
        <v>57525830.544324234</v>
      </c>
      <c r="AH183" s="507">
        <f t="shared" si="64"/>
        <v>57525830.544324234</v>
      </c>
      <c r="AI183" s="548">
        <f>SUM(D183:N183)</f>
        <v>575258305.44324231</v>
      </c>
      <c r="AJ183" s="548">
        <f>SUM(D183:X183)</f>
        <v>1150516610.8864849</v>
      </c>
      <c r="AK183" s="510">
        <f>SUM(D183:AH183)</f>
        <v>1725774916.3297265</v>
      </c>
    </row>
    <row r="184" spans="1:37" ht="11.5" x14ac:dyDescent="0.25">
      <c r="A184" s="501" t="str">
        <f>地域経済性分析・初期条件!$G$41</f>
        <v>化学工業</v>
      </c>
      <c r="C184" s="465"/>
      <c r="D184" s="507"/>
      <c r="E184" s="478"/>
      <c r="F184" s="479"/>
      <c r="G184" s="478"/>
      <c r="H184" s="478"/>
      <c r="I184" s="478"/>
      <c r="J184" s="478"/>
      <c r="K184" s="478"/>
      <c r="L184" s="478"/>
      <c r="M184" s="478"/>
      <c r="N184" s="478"/>
      <c r="O184" s="478"/>
      <c r="P184" s="478"/>
      <c r="Q184" s="478"/>
      <c r="R184" s="478"/>
      <c r="S184" s="478"/>
      <c r="T184" s="478"/>
      <c r="U184" s="478"/>
      <c r="V184" s="478"/>
      <c r="W184" s="478"/>
      <c r="X184" s="478"/>
      <c r="Y184" s="478"/>
      <c r="Z184" s="478"/>
      <c r="AA184" s="478"/>
      <c r="AB184" s="478"/>
      <c r="AC184" s="478"/>
      <c r="AD184" s="478"/>
      <c r="AE184" s="478"/>
      <c r="AF184" s="478"/>
      <c r="AG184" s="478"/>
      <c r="AH184" s="478"/>
      <c r="AI184" s="548"/>
      <c r="AJ184" s="548"/>
      <c r="AK184" s="510"/>
    </row>
    <row r="185" spans="1:37" ht="11.5" x14ac:dyDescent="0.25">
      <c r="A185" s="546" t="str">
        <f>A184&amp;B185</f>
        <v>化学工業売上（税別）</v>
      </c>
      <c r="B185" s="452" t="s">
        <v>1047</v>
      </c>
      <c r="C185" s="464" t="s">
        <v>37</v>
      </c>
      <c r="D185" s="507">
        <f>D183*地域経済性分析・初期条件!$F$41</f>
        <v>0</v>
      </c>
      <c r="E185" s="507">
        <f>E183*地域経済性分析・初期条件!$F$41</f>
        <v>28762915.272162117</v>
      </c>
      <c r="F185" s="507">
        <f>F183*地域経済性分析・初期条件!$F$41</f>
        <v>28762915.272162117</v>
      </c>
      <c r="G185" s="507">
        <f>G183*地域経済性分析・初期条件!$F$41</f>
        <v>28762915.272162117</v>
      </c>
      <c r="H185" s="507">
        <f>H183*地域経済性分析・初期条件!$F$41</f>
        <v>28762915.272162117</v>
      </c>
      <c r="I185" s="507">
        <f>I183*地域経済性分析・初期条件!$F$41</f>
        <v>28762915.272162117</v>
      </c>
      <c r="J185" s="507">
        <f>J183*地域経済性分析・初期条件!$F$41</f>
        <v>28762915.272162117</v>
      </c>
      <c r="K185" s="507">
        <f>K183*地域経済性分析・初期条件!$F$41</f>
        <v>28762915.272162117</v>
      </c>
      <c r="L185" s="507">
        <f>L183*地域経済性分析・初期条件!$F$41</f>
        <v>28762915.272162117</v>
      </c>
      <c r="M185" s="507">
        <f>M183*地域経済性分析・初期条件!$F$41</f>
        <v>28762915.272162117</v>
      </c>
      <c r="N185" s="507">
        <f>N183*地域経済性分析・初期条件!$F$41</f>
        <v>28762915.272162117</v>
      </c>
      <c r="O185" s="507">
        <f>O183*地域経済性分析・初期条件!$F$41</f>
        <v>28762915.272162117</v>
      </c>
      <c r="P185" s="507">
        <f>P183*地域経済性分析・初期条件!$F$41</f>
        <v>28762915.272162117</v>
      </c>
      <c r="Q185" s="507">
        <f>Q183*地域経済性分析・初期条件!$F$41</f>
        <v>28762915.272162117</v>
      </c>
      <c r="R185" s="507">
        <f>R183*地域経済性分析・初期条件!$F$41</f>
        <v>28762915.272162117</v>
      </c>
      <c r="S185" s="507">
        <f>S183*地域経済性分析・初期条件!$F$41</f>
        <v>28762915.272162117</v>
      </c>
      <c r="T185" s="507">
        <f>T183*地域経済性分析・初期条件!$F$41</f>
        <v>28762915.272162117</v>
      </c>
      <c r="U185" s="507">
        <f>U183*地域経済性分析・初期条件!$F$41</f>
        <v>28762915.272162117</v>
      </c>
      <c r="V185" s="507">
        <f>V183*地域経済性分析・初期条件!$F$41</f>
        <v>28762915.272162117</v>
      </c>
      <c r="W185" s="507">
        <f>W183*地域経済性分析・初期条件!$F$41</f>
        <v>28762915.272162117</v>
      </c>
      <c r="X185" s="507">
        <f>X183*地域経済性分析・初期条件!$F$41</f>
        <v>28762915.272162117</v>
      </c>
      <c r="Y185" s="507">
        <f>Y183*地域経済性分析・初期条件!$F$41</f>
        <v>28762915.272162117</v>
      </c>
      <c r="Z185" s="507">
        <f>Z183*地域経済性分析・初期条件!$F$41</f>
        <v>28762915.272162117</v>
      </c>
      <c r="AA185" s="507">
        <f>AA183*地域経済性分析・初期条件!$F$41</f>
        <v>28762915.272162117</v>
      </c>
      <c r="AB185" s="507">
        <f>AB183*地域経済性分析・初期条件!$F$41</f>
        <v>28762915.272162117</v>
      </c>
      <c r="AC185" s="507">
        <f>AC183*地域経済性分析・初期条件!$F$41</f>
        <v>28762915.272162117</v>
      </c>
      <c r="AD185" s="507">
        <f>AD183*地域経済性分析・初期条件!$F$41</f>
        <v>28762915.272162117</v>
      </c>
      <c r="AE185" s="507">
        <f>AE183*地域経済性分析・初期条件!$F$41</f>
        <v>28762915.272162117</v>
      </c>
      <c r="AF185" s="507">
        <f>AF183*地域経済性分析・初期条件!$F$41</f>
        <v>28762915.272162117</v>
      </c>
      <c r="AG185" s="507">
        <f>AG183*地域経済性分析・初期条件!$F$41</f>
        <v>28762915.272162117</v>
      </c>
      <c r="AH185" s="507">
        <f>AH183*地域経済性分析・初期条件!$F$41</f>
        <v>28762915.272162117</v>
      </c>
      <c r="AI185" s="548">
        <f t="shared" ref="AI185:AI197" si="65">SUM(D185:N185)</f>
        <v>287629152.72162116</v>
      </c>
      <c r="AJ185" s="548">
        <f t="shared" ref="AJ185:AJ197" si="66">SUM(D185:X185)</f>
        <v>575258305.44324243</v>
      </c>
      <c r="AK185" s="510">
        <f t="shared" ref="AK185:AK197" si="67">SUM(D185:AH185)</f>
        <v>862887458.16486323</v>
      </c>
    </row>
    <row r="186" spans="1:37" ht="11.5" x14ac:dyDescent="0.25">
      <c r="A186" s="546" t="str">
        <f>A184&amp;B186</f>
        <v>化学工業消費税（都道府県）</v>
      </c>
      <c r="B186" s="452" t="s">
        <v>263</v>
      </c>
      <c r="C186" s="464" t="s">
        <v>37</v>
      </c>
      <c r="D186" s="507">
        <f>IF(D185&lt;0,0,D185*波及効果シート!$D$72)</f>
        <v>0</v>
      </c>
      <c r="E186" s="507">
        <f>IF(E185&lt;0,0,E185*波及効果シート!$D$72)</f>
        <v>316392.06799378328</v>
      </c>
      <c r="F186" s="507">
        <f>IF(F185&lt;0,0,F185*波及効果シート!$D$72)</f>
        <v>316392.06799378328</v>
      </c>
      <c r="G186" s="507">
        <f>IF(G185&lt;0,0,G185*波及効果シート!$D$72)</f>
        <v>316392.06799378328</v>
      </c>
      <c r="H186" s="507">
        <f>IF(H185&lt;0,0,H185*波及効果シート!$D$72)</f>
        <v>316392.06799378328</v>
      </c>
      <c r="I186" s="507">
        <f>IF(I185&lt;0,0,I185*波及効果シート!$D$72)</f>
        <v>316392.06799378328</v>
      </c>
      <c r="J186" s="507">
        <f>IF(J185&lt;0,0,J185*波及効果シート!$D$72)</f>
        <v>316392.06799378328</v>
      </c>
      <c r="K186" s="507">
        <f>IF(K185&lt;0,0,K185*波及効果シート!$D$72)</f>
        <v>316392.06799378328</v>
      </c>
      <c r="L186" s="507">
        <f>IF(L185&lt;0,0,L185*波及効果シート!$D$72)</f>
        <v>316392.06799378328</v>
      </c>
      <c r="M186" s="507">
        <f>IF(M185&lt;0,0,M185*波及効果シート!$D$72)</f>
        <v>316392.06799378328</v>
      </c>
      <c r="N186" s="507">
        <f>IF(N185&lt;0,0,N185*波及効果シート!$D$72)</f>
        <v>316392.06799378328</v>
      </c>
      <c r="O186" s="507">
        <f>IF(O185&lt;0,0,O185*波及効果シート!$D$72)</f>
        <v>316392.06799378328</v>
      </c>
      <c r="P186" s="507">
        <f>IF(P185&lt;0,0,P185*波及効果シート!$D$72)</f>
        <v>316392.06799378328</v>
      </c>
      <c r="Q186" s="507">
        <f>IF(Q185&lt;0,0,Q185*波及効果シート!$D$72)</f>
        <v>316392.06799378328</v>
      </c>
      <c r="R186" s="507">
        <f>IF(R185&lt;0,0,R185*波及効果シート!$D$72)</f>
        <v>316392.06799378328</v>
      </c>
      <c r="S186" s="507">
        <f>IF(S185&lt;0,0,S185*波及効果シート!$D$72)</f>
        <v>316392.06799378328</v>
      </c>
      <c r="T186" s="507">
        <f>IF(T185&lt;0,0,T185*波及効果シート!$D$72)</f>
        <v>316392.06799378328</v>
      </c>
      <c r="U186" s="507">
        <f>IF(U185&lt;0,0,U185*波及効果シート!$D$72)</f>
        <v>316392.06799378328</v>
      </c>
      <c r="V186" s="507">
        <f>IF(V185&lt;0,0,V185*波及効果シート!$D$72)</f>
        <v>316392.06799378328</v>
      </c>
      <c r="W186" s="507">
        <f>IF(W185&lt;0,0,W185*波及効果シート!$D$72)</f>
        <v>316392.06799378328</v>
      </c>
      <c r="X186" s="507">
        <f>IF(X185&lt;0,0,X185*波及効果シート!$D$72)</f>
        <v>316392.06799378328</v>
      </c>
      <c r="Y186" s="507">
        <f>IF(Y185&lt;0,0,Y185*波及効果シート!$D$72)</f>
        <v>316392.06799378328</v>
      </c>
      <c r="Z186" s="507">
        <f>IF(Z185&lt;0,0,Z185*波及効果シート!$D$72)</f>
        <v>316392.06799378328</v>
      </c>
      <c r="AA186" s="507">
        <f>IF(AA185&lt;0,0,AA185*波及効果シート!$D$72)</f>
        <v>316392.06799378328</v>
      </c>
      <c r="AB186" s="507">
        <f>IF(AB185&lt;0,0,AB185*波及効果シート!$D$72)</f>
        <v>316392.06799378328</v>
      </c>
      <c r="AC186" s="507">
        <f>IF(AC185&lt;0,0,AC185*波及効果シート!$D$72)</f>
        <v>316392.06799378328</v>
      </c>
      <c r="AD186" s="507">
        <f>IF(AD185&lt;0,0,AD185*波及効果シート!$D$72)</f>
        <v>316392.06799378328</v>
      </c>
      <c r="AE186" s="507">
        <f>IF(AE185&lt;0,0,AE185*波及効果シート!$D$72)</f>
        <v>316392.06799378328</v>
      </c>
      <c r="AF186" s="507">
        <f>IF(AF185&lt;0,0,AF185*波及効果シート!$D$72)</f>
        <v>316392.06799378328</v>
      </c>
      <c r="AG186" s="507">
        <f>IF(AG185&lt;0,0,AG185*波及効果シート!$D$72)</f>
        <v>316392.06799378328</v>
      </c>
      <c r="AH186" s="507">
        <f>IF(AH185&lt;0,0,AH185*波及効果シート!$D$72)</f>
        <v>316392.06799378328</v>
      </c>
      <c r="AI186" s="548">
        <f t="shared" si="65"/>
        <v>3163920.6799378335</v>
      </c>
      <c r="AJ186" s="548">
        <f t="shared" si="66"/>
        <v>6327841.3598756669</v>
      </c>
      <c r="AK186" s="510">
        <f t="shared" si="67"/>
        <v>9491762.039813498</v>
      </c>
    </row>
    <row r="187" spans="1:37" ht="11.5" x14ac:dyDescent="0.25">
      <c r="A187" s="546" t="str">
        <f>A184&amp;B187</f>
        <v>化学工業消費税（市町村）</v>
      </c>
      <c r="B187" s="452" t="s">
        <v>1048</v>
      </c>
      <c r="C187" s="465" t="s">
        <v>37</v>
      </c>
      <c r="D187" s="507">
        <f>IF(D185&lt;0,0,D185*波及効果シート!$D$74)</f>
        <v>0</v>
      </c>
      <c r="E187" s="507">
        <f>IF(E185&lt;0,0,E185*波及効果シート!$D$74)</f>
        <v>316392.06799378328</v>
      </c>
      <c r="F187" s="507">
        <f>IF(F185&lt;0,0,F185*波及効果シート!$D$74)</f>
        <v>316392.06799378328</v>
      </c>
      <c r="G187" s="507">
        <f>IF(G185&lt;0,0,G185*波及効果シート!$D$74)</f>
        <v>316392.06799378328</v>
      </c>
      <c r="H187" s="507">
        <f>IF(H185&lt;0,0,H185*波及効果シート!$D$74)</f>
        <v>316392.06799378328</v>
      </c>
      <c r="I187" s="507">
        <f>IF(I185&lt;0,0,I185*波及効果シート!$D$74)</f>
        <v>316392.06799378328</v>
      </c>
      <c r="J187" s="507">
        <f>IF(J185&lt;0,0,J185*波及効果シート!$D$74)</f>
        <v>316392.06799378328</v>
      </c>
      <c r="K187" s="507">
        <f>IF(K185&lt;0,0,K185*波及効果シート!$D$74)</f>
        <v>316392.06799378328</v>
      </c>
      <c r="L187" s="507">
        <f>IF(L185&lt;0,0,L185*波及効果シート!$D$74)</f>
        <v>316392.06799378328</v>
      </c>
      <c r="M187" s="507">
        <f>IF(M185&lt;0,0,M185*波及効果シート!$D$74)</f>
        <v>316392.06799378328</v>
      </c>
      <c r="N187" s="507">
        <f>IF(N185&lt;0,0,N185*波及効果シート!$D$74)</f>
        <v>316392.06799378328</v>
      </c>
      <c r="O187" s="507">
        <f>IF(O185&lt;0,0,O185*波及効果シート!$D$74)</f>
        <v>316392.06799378328</v>
      </c>
      <c r="P187" s="507">
        <f>IF(P185&lt;0,0,P185*波及効果シート!$D$74)</f>
        <v>316392.06799378328</v>
      </c>
      <c r="Q187" s="507">
        <f>IF(Q185&lt;0,0,Q185*波及効果シート!$D$74)</f>
        <v>316392.06799378328</v>
      </c>
      <c r="R187" s="507">
        <f>IF(R185&lt;0,0,R185*波及効果シート!$D$74)</f>
        <v>316392.06799378328</v>
      </c>
      <c r="S187" s="507">
        <f>IF(S185&lt;0,0,S185*波及効果シート!$D$74)</f>
        <v>316392.06799378328</v>
      </c>
      <c r="T187" s="507">
        <f>IF(T185&lt;0,0,T185*波及効果シート!$D$74)</f>
        <v>316392.06799378328</v>
      </c>
      <c r="U187" s="507">
        <f>IF(U185&lt;0,0,U185*波及効果シート!$D$74)</f>
        <v>316392.06799378328</v>
      </c>
      <c r="V187" s="507">
        <f>IF(V185&lt;0,0,V185*波及効果シート!$D$74)</f>
        <v>316392.06799378328</v>
      </c>
      <c r="W187" s="507">
        <f>IF(W185&lt;0,0,W185*波及効果シート!$D$74)</f>
        <v>316392.06799378328</v>
      </c>
      <c r="X187" s="507">
        <f>IF(X185&lt;0,0,X185*波及効果シート!$D$74)</f>
        <v>316392.06799378328</v>
      </c>
      <c r="Y187" s="507">
        <f>IF(Y185&lt;0,0,Y185*波及効果シート!$D$74)</f>
        <v>316392.06799378328</v>
      </c>
      <c r="Z187" s="507">
        <f>IF(Z185&lt;0,0,Z185*波及効果シート!$D$74)</f>
        <v>316392.06799378328</v>
      </c>
      <c r="AA187" s="507">
        <f>IF(AA185&lt;0,0,AA185*波及効果シート!$D$74)</f>
        <v>316392.06799378328</v>
      </c>
      <c r="AB187" s="507">
        <f>IF(AB185&lt;0,0,AB185*波及効果シート!$D$74)</f>
        <v>316392.06799378328</v>
      </c>
      <c r="AC187" s="507">
        <f>IF(AC185&lt;0,0,AC185*波及効果シート!$D$74)</f>
        <v>316392.06799378328</v>
      </c>
      <c r="AD187" s="507">
        <f>IF(AD185&lt;0,0,AD185*波及効果シート!$D$74)</f>
        <v>316392.06799378328</v>
      </c>
      <c r="AE187" s="507">
        <f>IF(AE185&lt;0,0,AE185*波及効果シート!$D$74)</f>
        <v>316392.06799378328</v>
      </c>
      <c r="AF187" s="507">
        <f>IF(AF185&lt;0,0,AF185*波及効果シート!$D$74)</f>
        <v>316392.06799378328</v>
      </c>
      <c r="AG187" s="507">
        <f>IF(AG185&lt;0,0,AG185*波及効果シート!$D$74)</f>
        <v>316392.06799378328</v>
      </c>
      <c r="AH187" s="507">
        <f>IF(AH185&lt;0,0,AH185*波及効果シート!$D$74)</f>
        <v>316392.06799378328</v>
      </c>
      <c r="AI187" s="548">
        <f t="shared" si="65"/>
        <v>3163920.6799378335</v>
      </c>
      <c r="AJ187" s="548">
        <f t="shared" si="66"/>
        <v>6327841.3598756669</v>
      </c>
      <c r="AK187" s="510">
        <f t="shared" si="67"/>
        <v>9491762.039813498</v>
      </c>
    </row>
    <row r="188" spans="1:37" ht="11.5" x14ac:dyDescent="0.25">
      <c r="A188" s="546" t="str">
        <f>A184&amp;B188</f>
        <v>化学工業所得税（国税）</v>
      </c>
      <c r="B188" s="452" t="s">
        <v>356</v>
      </c>
      <c r="C188" s="465" t="s">
        <v>37</v>
      </c>
      <c r="D188" s="507">
        <f>D185*地域経済性分析・初期条件!$P$41</f>
        <v>0</v>
      </c>
      <c r="E188" s="507">
        <f>E185*地域経済性分析・初期条件!$P$41</f>
        <v>0</v>
      </c>
      <c r="F188" s="507">
        <f>F185*地域経済性分析・初期条件!$P$41</f>
        <v>0</v>
      </c>
      <c r="G188" s="507">
        <f>G185*地域経済性分析・初期条件!$P$41</f>
        <v>0</v>
      </c>
      <c r="H188" s="507">
        <f>H185*地域経済性分析・初期条件!$P$41</f>
        <v>0</v>
      </c>
      <c r="I188" s="507">
        <f>I185*地域経済性分析・初期条件!$P$41</f>
        <v>0</v>
      </c>
      <c r="J188" s="507">
        <f>J185*地域経済性分析・初期条件!$P$41</f>
        <v>0</v>
      </c>
      <c r="K188" s="507">
        <f>K185*地域経済性分析・初期条件!$P$41</f>
        <v>0</v>
      </c>
      <c r="L188" s="507">
        <f>L185*地域経済性分析・初期条件!$P$41</f>
        <v>0</v>
      </c>
      <c r="M188" s="507">
        <f>M185*地域経済性分析・初期条件!$P$41</f>
        <v>0</v>
      </c>
      <c r="N188" s="507">
        <f>N185*地域経済性分析・初期条件!$P$41</f>
        <v>0</v>
      </c>
      <c r="O188" s="507">
        <f>O185*地域経済性分析・初期条件!$P$41</f>
        <v>0</v>
      </c>
      <c r="P188" s="507">
        <f>P185*地域経済性分析・初期条件!$P$41</f>
        <v>0</v>
      </c>
      <c r="Q188" s="507">
        <f>Q185*地域経済性分析・初期条件!$P$41</f>
        <v>0</v>
      </c>
      <c r="R188" s="507">
        <f>R185*地域経済性分析・初期条件!$P$41</f>
        <v>0</v>
      </c>
      <c r="S188" s="507">
        <f>S185*地域経済性分析・初期条件!$P$41</f>
        <v>0</v>
      </c>
      <c r="T188" s="507">
        <f>T185*地域経済性分析・初期条件!$P$41</f>
        <v>0</v>
      </c>
      <c r="U188" s="507">
        <f>U185*地域経済性分析・初期条件!$P$41</f>
        <v>0</v>
      </c>
      <c r="V188" s="507">
        <f>V185*地域経済性分析・初期条件!$P$41</f>
        <v>0</v>
      </c>
      <c r="W188" s="507">
        <f>W185*地域経済性分析・初期条件!$P$41</f>
        <v>0</v>
      </c>
      <c r="X188" s="507">
        <f>X185*地域経済性分析・初期条件!$P$41</f>
        <v>0</v>
      </c>
      <c r="Y188" s="507">
        <f>Y185*地域経済性分析・初期条件!$P$41</f>
        <v>0</v>
      </c>
      <c r="Z188" s="507">
        <f>Z185*地域経済性分析・初期条件!$P$41</f>
        <v>0</v>
      </c>
      <c r="AA188" s="507">
        <f>AA185*地域経済性分析・初期条件!$P$41</f>
        <v>0</v>
      </c>
      <c r="AB188" s="507">
        <f>AB185*地域経済性分析・初期条件!$P$41</f>
        <v>0</v>
      </c>
      <c r="AC188" s="507">
        <f>AC185*地域経済性分析・初期条件!$P$41</f>
        <v>0</v>
      </c>
      <c r="AD188" s="507">
        <f>AD185*地域経済性分析・初期条件!$P$41</f>
        <v>0</v>
      </c>
      <c r="AE188" s="507">
        <f>AE185*地域経済性分析・初期条件!$P$41</f>
        <v>0</v>
      </c>
      <c r="AF188" s="507">
        <f>AF185*地域経済性分析・初期条件!$P$41</f>
        <v>0</v>
      </c>
      <c r="AG188" s="507">
        <f>AG185*地域経済性分析・初期条件!$P$41</f>
        <v>0</v>
      </c>
      <c r="AH188" s="507">
        <f>AH185*地域経済性分析・初期条件!$P$41</f>
        <v>0</v>
      </c>
      <c r="AI188" s="548">
        <f t="shared" si="65"/>
        <v>0</v>
      </c>
      <c r="AJ188" s="548">
        <f t="shared" si="66"/>
        <v>0</v>
      </c>
      <c r="AK188" s="510">
        <f t="shared" si="67"/>
        <v>0</v>
      </c>
    </row>
    <row r="189" spans="1:37" ht="11.5" x14ac:dyDescent="0.25">
      <c r="A189" s="546" t="str">
        <f>A184&amp;B189</f>
        <v>化学工業法人税（国税）</v>
      </c>
      <c r="B189" s="452" t="s">
        <v>355</v>
      </c>
      <c r="C189" s="465" t="s">
        <v>37</v>
      </c>
      <c r="D189" s="507">
        <f>D185*地域経済性分析・初期条件!$Q$41</f>
        <v>0</v>
      </c>
      <c r="E189" s="507">
        <f>E185*地域経済性分析・初期条件!$Q$41</f>
        <v>0</v>
      </c>
      <c r="F189" s="507">
        <f>F185*地域経済性分析・初期条件!$Q$41</f>
        <v>0</v>
      </c>
      <c r="G189" s="507">
        <f>G185*地域経済性分析・初期条件!$Q$41</f>
        <v>0</v>
      </c>
      <c r="H189" s="507">
        <f>H185*地域経済性分析・初期条件!$Q$41</f>
        <v>0</v>
      </c>
      <c r="I189" s="507">
        <f>I185*地域経済性分析・初期条件!$Q$41</f>
        <v>0</v>
      </c>
      <c r="J189" s="507">
        <f>J185*地域経済性分析・初期条件!$Q$41</f>
        <v>0</v>
      </c>
      <c r="K189" s="507">
        <f>K185*地域経済性分析・初期条件!$Q$41</f>
        <v>0</v>
      </c>
      <c r="L189" s="507">
        <f>L185*地域経済性分析・初期条件!$Q$41</f>
        <v>0</v>
      </c>
      <c r="M189" s="507">
        <f>M185*地域経済性分析・初期条件!$Q$41</f>
        <v>0</v>
      </c>
      <c r="N189" s="507">
        <f>N185*地域経済性分析・初期条件!$Q$41</f>
        <v>0</v>
      </c>
      <c r="O189" s="507">
        <f>O185*地域経済性分析・初期条件!$Q$41</f>
        <v>0</v>
      </c>
      <c r="P189" s="507">
        <f>P185*地域経済性分析・初期条件!$Q$41</f>
        <v>0</v>
      </c>
      <c r="Q189" s="507">
        <f>Q185*地域経済性分析・初期条件!$Q$41</f>
        <v>0</v>
      </c>
      <c r="R189" s="507">
        <f>R185*地域経済性分析・初期条件!$Q$41</f>
        <v>0</v>
      </c>
      <c r="S189" s="507">
        <f>S185*地域経済性分析・初期条件!$Q$41</f>
        <v>0</v>
      </c>
      <c r="T189" s="507">
        <f>T185*地域経済性分析・初期条件!$Q$41</f>
        <v>0</v>
      </c>
      <c r="U189" s="507">
        <f>U185*地域経済性分析・初期条件!$Q$41</f>
        <v>0</v>
      </c>
      <c r="V189" s="507">
        <f>V185*地域経済性分析・初期条件!$Q$41</f>
        <v>0</v>
      </c>
      <c r="W189" s="507">
        <f>W185*地域経済性分析・初期条件!$Q$41</f>
        <v>0</v>
      </c>
      <c r="X189" s="507">
        <f>X185*地域経済性分析・初期条件!$Q$41</f>
        <v>0</v>
      </c>
      <c r="Y189" s="507">
        <f>Y185*地域経済性分析・初期条件!$Q$41</f>
        <v>0</v>
      </c>
      <c r="Z189" s="507">
        <f>Z185*地域経済性分析・初期条件!$Q$41</f>
        <v>0</v>
      </c>
      <c r="AA189" s="507">
        <f>AA185*地域経済性分析・初期条件!$Q$41</f>
        <v>0</v>
      </c>
      <c r="AB189" s="507">
        <f>AB185*地域経済性分析・初期条件!$Q$41</f>
        <v>0</v>
      </c>
      <c r="AC189" s="507">
        <f>AC185*地域経済性分析・初期条件!$Q$41</f>
        <v>0</v>
      </c>
      <c r="AD189" s="507">
        <f>AD185*地域経済性分析・初期条件!$Q$41</f>
        <v>0</v>
      </c>
      <c r="AE189" s="507">
        <f>AE185*地域経済性分析・初期条件!$Q$41</f>
        <v>0</v>
      </c>
      <c r="AF189" s="507">
        <f>AF185*地域経済性分析・初期条件!$Q$41</f>
        <v>0</v>
      </c>
      <c r="AG189" s="507">
        <f>AG185*地域経済性分析・初期条件!$Q$41</f>
        <v>0</v>
      </c>
      <c r="AH189" s="507">
        <f>AH185*地域経済性分析・初期条件!$Q$41</f>
        <v>0</v>
      </c>
      <c r="AI189" s="548">
        <f t="shared" si="65"/>
        <v>0</v>
      </c>
      <c r="AJ189" s="548">
        <f t="shared" si="66"/>
        <v>0</v>
      </c>
      <c r="AK189" s="510">
        <f t="shared" si="67"/>
        <v>0</v>
      </c>
    </row>
    <row r="190" spans="1:37" ht="11.5" x14ac:dyDescent="0.25">
      <c r="A190" s="546" t="str">
        <f>A184&amp;B190</f>
        <v>化学工業従業員の可処分所得（一次）</v>
      </c>
      <c r="B190" s="452" t="s">
        <v>339</v>
      </c>
      <c r="C190" s="464" t="s">
        <v>37</v>
      </c>
      <c r="D190" s="507">
        <f>D185*地域経済性分析・初期条件!$H$41</f>
        <v>0</v>
      </c>
      <c r="E190" s="507">
        <f>E185*地域経済性分析・初期条件!$H$41</f>
        <v>2048490.7998008777</v>
      </c>
      <c r="F190" s="507">
        <f>F185*地域経済性分析・初期条件!$H$41</f>
        <v>2048490.7998008777</v>
      </c>
      <c r="G190" s="507">
        <f>G185*地域経済性分析・初期条件!$H$41</f>
        <v>2048490.7998008777</v>
      </c>
      <c r="H190" s="507">
        <f>H185*地域経済性分析・初期条件!$H$41</f>
        <v>2048490.7998008777</v>
      </c>
      <c r="I190" s="507">
        <f>I185*地域経済性分析・初期条件!$H$41</f>
        <v>2048490.7998008777</v>
      </c>
      <c r="J190" s="507">
        <f>J185*地域経済性分析・初期条件!$H$41</f>
        <v>2048490.7998008777</v>
      </c>
      <c r="K190" s="507">
        <f>K185*地域経済性分析・初期条件!$H$41</f>
        <v>2048490.7998008777</v>
      </c>
      <c r="L190" s="507">
        <f>L185*地域経済性分析・初期条件!$H$41</f>
        <v>2048490.7998008777</v>
      </c>
      <c r="M190" s="507">
        <f>M185*地域経済性分析・初期条件!$H$41</f>
        <v>2048490.7998008777</v>
      </c>
      <c r="N190" s="507">
        <f>N185*地域経済性分析・初期条件!$H$41</f>
        <v>2048490.7998008777</v>
      </c>
      <c r="O190" s="507">
        <f>O185*地域経済性分析・初期条件!$H$41</f>
        <v>2048490.7998008777</v>
      </c>
      <c r="P190" s="507">
        <f>P185*地域経済性分析・初期条件!$H$41</f>
        <v>2048490.7998008777</v>
      </c>
      <c r="Q190" s="507">
        <f>Q185*地域経済性分析・初期条件!$H$41</f>
        <v>2048490.7998008777</v>
      </c>
      <c r="R190" s="507">
        <f>R185*地域経済性分析・初期条件!$H$41</f>
        <v>2048490.7998008777</v>
      </c>
      <c r="S190" s="507">
        <f>S185*地域経済性分析・初期条件!$H$41</f>
        <v>2048490.7998008777</v>
      </c>
      <c r="T190" s="507">
        <f>T185*地域経済性分析・初期条件!$H$41</f>
        <v>2048490.7998008777</v>
      </c>
      <c r="U190" s="507">
        <f>U185*地域経済性分析・初期条件!$H$41</f>
        <v>2048490.7998008777</v>
      </c>
      <c r="V190" s="507">
        <f>V185*地域経済性分析・初期条件!$H$41</f>
        <v>2048490.7998008777</v>
      </c>
      <c r="W190" s="507">
        <f>W185*地域経済性分析・初期条件!$H$41</f>
        <v>2048490.7998008777</v>
      </c>
      <c r="X190" s="507">
        <f>X185*地域経済性分析・初期条件!$H$41</f>
        <v>2048490.7998008777</v>
      </c>
      <c r="Y190" s="507">
        <f>Y185*地域経済性分析・初期条件!$H$41</f>
        <v>2048490.7998008777</v>
      </c>
      <c r="Z190" s="507">
        <f>Z185*地域経済性分析・初期条件!$H$41</f>
        <v>2048490.7998008777</v>
      </c>
      <c r="AA190" s="507">
        <f>AA185*地域経済性分析・初期条件!$H$41</f>
        <v>2048490.7998008777</v>
      </c>
      <c r="AB190" s="507">
        <f>AB185*地域経済性分析・初期条件!$H$41</f>
        <v>2048490.7998008777</v>
      </c>
      <c r="AC190" s="507">
        <f>AC185*地域経済性分析・初期条件!$H$41</f>
        <v>2048490.7998008777</v>
      </c>
      <c r="AD190" s="507">
        <f>AD185*地域経済性分析・初期条件!$H$41</f>
        <v>2048490.7998008777</v>
      </c>
      <c r="AE190" s="507">
        <f>AE185*地域経済性分析・初期条件!$H$41</f>
        <v>2048490.7998008777</v>
      </c>
      <c r="AF190" s="507">
        <f>AF185*地域経済性分析・初期条件!$H$41</f>
        <v>2048490.7998008777</v>
      </c>
      <c r="AG190" s="507">
        <f>AG185*地域経済性分析・初期条件!$H$41</f>
        <v>2048490.7998008777</v>
      </c>
      <c r="AH190" s="507">
        <f>AH185*地域経済性分析・初期条件!$H$41</f>
        <v>2048490.7998008777</v>
      </c>
      <c r="AI190" s="548">
        <f t="shared" si="65"/>
        <v>20484907.998008776</v>
      </c>
      <c r="AJ190" s="548">
        <f t="shared" si="66"/>
        <v>40969815.996017553</v>
      </c>
      <c r="AK190" s="510">
        <f t="shared" si="67"/>
        <v>61454723.994026355</v>
      </c>
    </row>
    <row r="191" spans="1:37" ht="11.5" x14ac:dyDescent="0.25">
      <c r="A191" s="546" t="str">
        <f>A184&amp;B191</f>
        <v>化学工業企業の税引後利益（一次）</v>
      </c>
      <c r="B191" s="452" t="s">
        <v>340</v>
      </c>
      <c r="C191" s="464" t="s">
        <v>37</v>
      </c>
      <c r="D191" s="507">
        <f>D185*地域経済性分析・初期条件!$I$41</f>
        <v>0</v>
      </c>
      <c r="E191" s="507">
        <f>E185*地域経済性分析・初期条件!$I$41</f>
        <v>2043091.9897143354</v>
      </c>
      <c r="F191" s="507">
        <f>F185*地域経済性分析・初期条件!$I$41</f>
        <v>2043091.9897143354</v>
      </c>
      <c r="G191" s="507">
        <f>G185*地域経済性分析・初期条件!$I$41</f>
        <v>2043091.9897143354</v>
      </c>
      <c r="H191" s="507">
        <f>H185*地域経済性分析・初期条件!$I$41</f>
        <v>2043091.9897143354</v>
      </c>
      <c r="I191" s="507">
        <f>I185*地域経済性分析・初期条件!$I$41</f>
        <v>2043091.9897143354</v>
      </c>
      <c r="J191" s="507">
        <f>J185*地域経済性分析・初期条件!$I$41</f>
        <v>2043091.9897143354</v>
      </c>
      <c r="K191" s="507">
        <f>K185*地域経済性分析・初期条件!$I$41</f>
        <v>2043091.9897143354</v>
      </c>
      <c r="L191" s="507">
        <f>L185*地域経済性分析・初期条件!$I$41</f>
        <v>2043091.9897143354</v>
      </c>
      <c r="M191" s="507">
        <f>M185*地域経済性分析・初期条件!$I$41</f>
        <v>2043091.9897143354</v>
      </c>
      <c r="N191" s="507">
        <f>N185*地域経済性分析・初期条件!$I$41</f>
        <v>2043091.9897143354</v>
      </c>
      <c r="O191" s="507">
        <f>O185*地域経済性分析・初期条件!$I$41</f>
        <v>2043091.9897143354</v>
      </c>
      <c r="P191" s="507">
        <f>P185*地域経済性分析・初期条件!$I$41</f>
        <v>2043091.9897143354</v>
      </c>
      <c r="Q191" s="507">
        <f>Q185*地域経済性分析・初期条件!$I$41</f>
        <v>2043091.9897143354</v>
      </c>
      <c r="R191" s="507">
        <f>R185*地域経済性分析・初期条件!$I$41</f>
        <v>2043091.9897143354</v>
      </c>
      <c r="S191" s="507">
        <f>S185*地域経済性分析・初期条件!$I$41</f>
        <v>2043091.9897143354</v>
      </c>
      <c r="T191" s="507">
        <f>T185*地域経済性分析・初期条件!$I$41</f>
        <v>2043091.9897143354</v>
      </c>
      <c r="U191" s="507">
        <f>U185*地域経済性分析・初期条件!$I$41</f>
        <v>2043091.9897143354</v>
      </c>
      <c r="V191" s="507">
        <f>V185*地域経済性分析・初期条件!$I$41</f>
        <v>2043091.9897143354</v>
      </c>
      <c r="W191" s="507">
        <f>W185*地域経済性分析・初期条件!$I$41</f>
        <v>2043091.9897143354</v>
      </c>
      <c r="X191" s="507">
        <f>X185*地域経済性分析・初期条件!$I$41</f>
        <v>2043091.9897143354</v>
      </c>
      <c r="Y191" s="507">
        <f>Y185*地域経済性分析・初期条件!$I$41</f>
        <v>2043091.9897143354</v>
      </c>
      <c r="Z191" s="507">
        <f>Z185*地域経済性分析・初期条件!$I$41</f>
        <v>2043091.9897143354</v>
      </c>
      <c r="AA191" s="507">
        <f>AA185*地域経済性分析・初期条件!$I$41</f>
        <v>2043091.9897143354</v>
      </c>
      <c r="AB191" s="507">
        <f>AB185*地域経済性分析・初期条件!$I$41</f>
        <v>2043091.9897143354</v>
      </c>
      <c r="AC191" s="507">
        <f>AC185*地域経済性分析・初期条件!$I$41</f>
        <v>2043091.9897143354</v>
      </c>
      <c r="AD191" s="507">
        <f>AD185*地域経済性分析・初期条件!$I$41</f>
        <v>2043091.9897143354</v>
      </c>
      <c r="AE191" s="507">
        <f>AE185*地域経済性分析・初期条件!$I$41</f>
        <v>2043091.9897143354</v>
      </c>
      <c r="AF191" s="507">
        <f>AF185*地域経済性分析・初期条件!$I$41</f>
        <v>2043091.9897143354</v>
      </c>
      <c r="AG191" s="507">
        <f>AG185*地域経済性分析・初期条件!$I$41</f>
        <v>2043091.9897143354</v>
      </c>
      <c r="AH191" s="507">
        <f>AH185*地域経済性分析・初期条件!$I$41</f>
        <v>2043091.9897143354</v>
      </c>
      <c r="AI191" s="548">
        <f t="shared" si="65"/>
        <v>20430919.897143353</v>
      </c>
      <c r="AJ191" s="548">
        <f t="shared" si="66"/>
        <v>40861839.794286698</v>
      </c>
      <c r="AK191" s="510">
        <f t="shared" si="67"/>
        <v>61292759.691430017</v>
      </c>
    </row>
    <row r="192" spans="1:37" ht="11.5" x14ac:dyDescent="0.25">
      <c r="A192" s="546" t="str">
        <f>A184&amp;B192</f>
        <v>化学工業都道府県税収（一次）</v>
      </c>
      <c r="B192" s="452" t="s">
        <v>341</v>
      </c>
      <c r="C192" s="464" t="s">
        <v>37</v>
      </c>
      <c r="D192" s="507">
        <f>D185*地域経済性分析・初期条件!$J$41</f>
        <v>0</v>
      </c>
      <c r="E192" s="507">
        <f>E185*地域経済性分析・初期条件!$J$41</f>
        <v>449748.49367841083</v>
      </c>
      <c r="F192" s="507">
        <f>F185*地域経済性分析・初期条件!$J$41</f>
        <v>449748.49367841083</v>
      </c>
      <c r="G192" s="507">
        <f>G185*地域経済性分析・初期条件!$J$41</f>
        <v>449748.49367841083</v>
      </c>
      <c r="H192" s="507">
        <f>H185*地域経済性分析・初期条件!$J$41</f>
        <v>449748.49367841083</v>
      </c>
      <c r="I192" s="507">
        <f>I185*地域経済性分析・初期条件!$J$41</f>
        <v>449748.49367841083</v>
      </c>
      <c r="J192" s="507">
        <f>J185*地域経済性分析・初期条件!$J$41</f>
        <v>449748.49367841083</v>
      </c>
      <c r="K192" s="507">
        <f>K185*地域経済性分析・初期条件!$J$41</f>
        <v>449748.49367841083</v>
      </c>
      <c r="L192" s="507">
        <f>L185*地域経済性分析・初期条件!$J$41</f>
        <v>449748.49367841083</v>
      </c>
      <c r="M192" s="507">
        <f>M185*地域経済性分析・初期条件!$J$41</f>
        <v>449748.49367841083</v>
      </c>
      <c r="N192" s="507">
        <f>N185*地域経済性分析・初期条件!$J$41</f>
        <v>449748.49367841083</v>
      </c>
      <c r="O192" s="507">
        <f>O185*地域経済性分析・初期条件!$J$41</f>
        <v>449748.49367841083</v>
      </c>
      <c r="P192" s="507">
        <f>P185*地域経済性分析・初期条件!$J$41</f>
        <v>449748.49367841083</v>
      </c>
      <c r="Q192" s="507">
        <f>Q185*地域経済性分析・初期条件!$J$41</f>
        <v>449748.49367841083</v>
      </c>
      <c r="R192" s="507">
        <f>R185*地域経済性分析・初期条件!$J$41</f>
        <v>449748.49367841083</v>
      </c>
      <c r="S192" s="507">
        <f>S185*地域経済性分析・初期条件!$J$41</f>
        <v>449748.49367841083</v>
      </c>
      <c r="T192" s="507">
        <f>T185*地域経済性分析・初期条件!$J$41</f>
        <v>449748.49367841083</v>
      </c>
      <c r="U192" s="507">
        <f>U185*地域経済性分析・初期条件!$J$41</f>
        <v>449748.49367841083</v>
      </c>
      <c r="V192" s="507">
        <f>V185*地域経済性分析・初期条件!$J$41</f>
        <v>449748.49367841083</v>
      </c>
      <c r="W192" s="507">
        <f>W185*地域経済性分析・初期条件!$J$41</f>
        <v>449748.49367841083</v>
      </c>
      <c r="X192" s="507">
        <f>X185*地域経済性分析・初期条件!$J$41</f>
        <v>449748.49367841083</v>
      </c>
      <c r="Y192" s="507">
        <f>Y185*地域経済性分析・初期条件!$J$41</f>
        <v>449748.49367841083</v>
      </c>
      <c r="Z192" s="507">
        <f>Z185*地域経済性分析・初期条件!$J$41</f>
        <v>449748.49367841083</v>
      </c>
      <c r="AA192" s="507">
        <f>AA185*地域経済性分析・初期条件!$J$41</f>
        <v>449748.49367841083</v>
      </c>
      <c r="AB192" s="507">
        <f>AB185*地域経済性分析・初期条件!$J$41</f>
        <v>449748.49367841083</v>
      </c>
      <c r="AC192" s="507">
        <f>AC185*地域経済性分析・初期条件!$J$41</f>
        <v>449748.49367841083</v>
      </c>
      <c r="AD192" s="507">
        <f>AD185*地域経済性分析・初期条件!$J$41</f>
        <v>449748.49367841083</v>
      </c>
      <c r="AE192" s="507">
        <f>AE185*地域経済性分析・初期条件!$J$41</f>
        <v>449748.49367841083</v>
      </c>
      <c r="AF192" s="507">
        <f>AF185*地域経済性分析・初期条件!$J$41</f>
        <v>449748.49367841083</v>
      </c>
      <c r="AG192" s="507">
        <f>AG185*地域経済性分析・初期条件!$J$41</f>
        <v>449748.49367841083</v>
      </c>
      <c r="AH192" s="507">
        <f>AH185*地域経済性分析・初期条件!$J$41</f>
        <v>449748.49367841083</v>
      </c>
      <c r="AI192" s="548">
        <f t="shared" si="65"/>
        <v>4497484.9367841091</v>
      </c>
      <c r="AJ192" s="548">
        <f t="shared" si="66"/>
        <v>8994969.8735682163</v>
      </c>
      <c r="AK192" s="510">
        <f t="shared" si="67"/>
        <v>13492454.810352331</v>
      </c>
    </row>
    <row r="193" spans="1:37" ht="11.5" x14ac:dyDescent="0.25">
      <c r="A193" s="546" t="str">
        <f>A184&amp;B193</f>
        <v>化学工業市町村税収（一次）</v>
      </c>
      <c r="B193" s="452" t="s">
        <v>342</v>
      </c>
      <c r="C193" s="465" t="s">
        <v>37</v>
      </c>
      <c r="D193" s="507">
        <f>D185*地域経済性分析・初期条件!$K$41</f>
        <v>0</v>
      </c>
      <c r="E193" s="507">
        <f>E185*地域経済性分析・初期条件!$K$41</f>
        <v>152064.53387594759</v>
      </c>
      <c r="F193" s="507">
        <f>F185*地域経済性分析・初期条件!$K$41</f>
        <v>152064.53387594759</v>
      </c>
      <c r="G193" s="507">
        <f>G185*地域経済性分析・初期条件!$K$41</f>
        <v>152064.53387594759</v>
      </c>
      <c r="H193" s="507">
        <f>H185*地域経済性分析・初期条件!$K$41</f>
        <v>152064.53387594759</v>
      </c>
      <c r="I193" s="507">
        <f>I185*地域経済性分析・初期条件!$K$41</f>
        <v>152064.53387594759</v>
      </c>
      <c r="J193" s="507">
        <f>J185*地域経済性分析・初期条件!$K$41</f>
        <v>152064.53387594759</v>
      </c>
      <c r="K193" s="507">
        <f>K185*地域経済性分析・初期条件!$K$41</f>
        <v>152064.53387594759</v>
      </c>
      <c r="L193" s="507">
        <f>L185*地域経済性分析・初期条件!$K$41</f>
        <v>152064.53387594759</v>
      </c>
      <c r="M193" s="507">
        <f>M185*地域経済性分析・初期条件!$K$41</f>
        <v>152064.53387594759</v>
      </c>
      <c r="N193" s="507">
        <f>N185*地域経済性分析・初期条件!$K$41</f>
        <v>152064.53387594759</v>
      </c>
      <c r="O193" s="507">
        <f>O185*地域経済性分析・初期条件!$K$41</f>
        <v>152064.53387594759</v>
      </c>
      <c r="P193" s="507">
        <f>P185*地域経済性分析・初期条件!$K$41</f>
        <v>152064.53387594759</v>
      </c>
      <c r="Q193" s="507">
        <f>Q185*地域経済性分析・初期条件!$K$41</f>
        <v>152064.53387594759</v>
      </c>
      <c r="R193" s="507">
        <f>R185*地域経済性分析・初期条件!$K$41</f>
        <v>152064.53387594759</v>
      </c>
      <c r="S193" s="507">
        <f>S185*地域経済性分析・初期条件!$K$41</f>
        <v>152064.53387594759</v>
      </c>
      <c r="T193" s="507">
        <f>T185*地域経済性分析・初期条件!$K$41</f>
        <v>152064.53387594759</v>
      </c>
      <c r="U193" s="507">
        <f>U185*地域経済性分析・初期条件!$K$41</f>
        <v>152064.53387594759</v>
      </c>
      <c r="V193" s="507">
        <f>V185*地域経済性分析・初期条件!$K$41</f>
        <v>152064.53387594759</v>
      </c>
      <c r="W193" s="507">
        <f>W185*地域経済性分析・初期条件!$K$41</f>
        <v>152064.53387594759</v>
      </c>
      <c r="X193" s="507">
        <f>X185*地域経済性分析・初期条件!$K$41</f>
        <v>152064.53387594759</v>
      </c>
      <c r="Y193" s="507">
        <f>Y185*地域経済性分析・初期条件!$K$41</f>
        <v>152064.53387594759</v>
      </c>
      <c r="Z193" s="507">
        <f>Z185*地域経済性分析・初期条件!$K$41</f>
        <v>152064.53387594759</v>
      </c>
      <c r="AA193" s="507">
        <f>AA185*地域経済性分析・初期条件!$K$41</f>
        <v>152064.53387594759</v>
      </c>
      <c r="AB193" s="507">
        <f>AB185*地域経済性分析・初期条件!$K$41</f>
        <v>152064.53387594759</v>
      </c>
      <c r="AC193" s="507">
        <f>AC185*地域経済性分析・初期条件!$K$41</f>
        <v>152064.53387594759</v>
      </c>
      <c r="AD193" s="507">
        <f>AD185*地域経済性分析・初期条件!$K$41</f>
        <v>152064.53387594759</v>
      </c>
      <c r="AE193" s="507">
        <f>AE185*地域経済性分析・初期条件!$K$41</f>
        <v>152064.53387594759</v>
      </c>
      <c r="AF193" s="507">
        <f>AF185*地域経済性分析・初期条件!$K$41</f>
        <v>152064.53387594759</v>
      </c>
      <c r="AG193" s="507">
        <f>AG185*地域経済性分析・初期条件!$K$41</f>
        <v>152064.53387594759</v>
      </c>
      <c r="AH193" s="507">
        <f>AH185*地域経済性分析・初期条件!$K$41</f>
        <v>152064.53387594759</v>
      </c>
      <c r="AI193" s="548">
        <f t="shared" si="65"/>
        <v>1520645.3387594759</v>
      </c>
      <c r="AJ193" s="548">
        <f t="shared" si="66"/>
        <v>3041290.6775189526</v>
      </c>
      <c r="AK193" s="510">
        <f t="shared" si="67"/>
        <v>4561936.0162784308</v>
      </c>
    </row>
    <row r="194" spans="1:37" ht="11.5" x14ac:dyDescent="0.25">
      <c r="A194" s="546" t="str">
        <f>A184&amp;B194</f>
        <v>化学工業従業員の可処分所得（二次以降）</v>
      </c>
      <c r="B194" s="452" t="s">
        <v>344</v>
      </c>
      <c r="C194" s="465" t="s">
        <v>37</v>
      </c>
      <c r="D194" s="507">
        <f>D185*地域経済性分析・初期条件!$L$41</f>
        <v>0</v>
      </c>
      <c r="E194" s="507">
        <f>E185*地域経済性分析・初期条件!$L$41</f>
        <v>2281247.907664936</v>
      </c>
      <c r="F194" s="507">
        <f>F185*地域経済性分析・初期条件!$L$41</f>
        <v>2281247.907664936</v>
      </c>
      <c r="G194" s="507">
        <f>G185*地域経済性分析・初期条件!$L$41</f>
        <v>2281247.907664936</v>
      </c>
      <c r="H194" s="507">
        <f>H185*地域経済性分析・初期条件!$L$41</f>
        <v>2281247.907664936</v>
      </c>
      <c r="I194" s="507">
        <f>I185*地域経済性分析・初期条件!$L$41</f>
        <v>2281247.907664936</v>
      </c>
      <c r="J194" s="507">
        <f>J185*地域経済性分析・初期条件!$L$41</f>
        <v>2281247.907664936</v>
      </c>
      <c r="K194" s="507">
        <f>K185*地域経済性分析・初期条件!$L$41</f>
        <v>2281247.907664936</v>
      </c>
      <c r="L194" s="507">
        <f>L185*地域経済性分析・初期条件!$L$41</f>
        <v>2281247.907664936</v>
      </c>
      <c r="M194" s="507">
        <f>M185*地域経済性分析・初期条件!$L$41</f>
        <v>2281247.907664936</v>
      </c>
      <c r="N194" s="507">
        <f>N185*地域経済性分析・初期条件!$L$41</f>
        <v>2281247.907664936</v>
      </c>
      <c r="O194" s="507">
        <f>O185*地域経済性分析・初期条件!$L$41</f>
        <v>2281247.907664936</v>
      </c>
      <c r="P194" s="507">
        <f>P185*地域経済性分析・初期条件!$L$41</f>
        <v>2281247.907664936</v>
      </c>
      <c r="Q194" s="507">
        <f>Q185*地域経済性分析・初期条件!$L$41</f>
        <v>2281247.907664936</v>
      </c>
      <c r="R194" s="507">
        <f>R185*地域経済性分析・初期条件!$L$41</f>
        <v>2281247.907664936</v>
      </c>
      <c r="S194" s="507">
        <f>S185*地域経済性分析・初期条件!$L$41</f>
        <v>2281247.907664936</v>
      </c>
      <c r="T194" s="507">
        <f>T185*地域経済性分析・初期条件!$L$41</f>
        <v>2281247.907664936</v>
      </c>
      <c r="U194" s="507">
        <f>U185*地域経済性分析・初期条件!$L$41</f>
        <v>2281247.907664936</v>
      </c>
      <c r="V194" s="507">
        <f>V185*地域経済性分析・初期条件!$L$41</f>
        <v>2281247.907664936</v>
      </c>
      <c r="W194" s="507">
        <f>W185*地域経済性分析・初期条件!$L$41</f>
        <v>2281247.907664936</v>
      </c>
      <c r="X194" s="507">
        <f>X185*地域経済性分析・初期条件!$L$41</f>
        <v>2281247.907664936</v>
      </c>
      <c r="Y194" s="507">
        <f>Y185*地域経済性分析・初期条件!$L$41</f>
        <v>2281247.907664936</v>
      </c>
      <c r="Z194" s="507">
        <f>Z185*地域経済性分析・初期条件!$L$41</f>
        <v>2281247.907664936</v>
      </c>
      <c r="AA194" s="507">
        <f>AA185*地域経済性分析・初期条件!$L$41</f>
        <v>2281247.907664936</v>
      </c>
      <c r="AB194" s="507">
        <f>AB185*地域経済性分析・初期条件!$L$41</f>
        <v>2281247.907664936</v>
      </c>
      <c r="AC194" s="507">
        <f>AC185*地域経済性分析・初期条件!$L$41</f>
        <v>2281247.907664936</v>
      </c>
      <c r="AD194" s="507">
        <f>AD185*地域経済性分析・初期条件!$L$41</f>
        <v>2281247.907664936</v>
      </c>
      <c r="AE194" s="507">
        <f>AE185*地域経済性分析・初期条件!$L$41</f>
        <v>2281247.907664936</v>
      </c>
      <c r="AF194" s="507">
        <f>AF185*地域経済性分析・初期条件!$L$41</f>
        <v>2281247.907664936</v>
      </c>
      <c r="AG194" s="507">
        <f>AG185*地域経済性分析・初期条件!$L$41</f>
        <v>2281247.907664936</v>
      </c>
      <c r="AH194" s="507">
        <f>AH185*地域経済性分析・初期条件!$L$41</f>
        <v>2281247.907664936</v>
      </c>
      <c r="AI194" s="548">
        <f t="shared" si="65"/>
        <v>22812479.07664936</v>
      </c>
      <c r="AJ194" s="548">
        <f t="shared" si="66"/>
        <v>45624958.153298736</v>
      </c>
      <c r="AK194" s="510">
        <f t="shared" si="67"/>
        <v>68437437.229948133</v>
      </c>
    </row>
    <row r="195" spans="1:37" ht="11.5" x14ac:dyDescent="0.25">
      <c r="A195" s="546" t="str">
        <f>A184&amp;B195</f>
        <v>化学工業企業の税引後利益（二次以降）</v>
      </c>
      <c r="B195" s="452" t="s">
        <v>345</v>
      </c>
      <c r="C195" s="465" t="s">
        <v>37</v>
      </c>
      <c r="D195" s="507">
        <f>D185*地域経済性分析・初期条件!$M$41</f>
        <v>0</v>
      </c>
      <c r="E195" s="507">
        <f>E185*地域経済性分析・初期条件!$M$41</f>
        <v>1927095.8842020703</v>
      </c>
      <c r="F195" s="507">
        <f>F185*地域経済性分析・初期条件!$M$41</f>
        <v>1927095.8842020703</v>
      </c>
      <c r="G195" s="507">
        <f>G185*地域経済性分析・初期条件!$M$41</f>
        <v>1927095.8842020703</v>
      </c>
      <c r="H195" s="507">
        <f>H185*地域経済性分析・初期条件!$M$41</f>
        <v>1927095.8842020703</v>
      </c>
      <c r="I195" s="507">
        <f>I185*地域経済性分析・初期条件!$M$41</f>
        <v>1927095.8842020703</v>
      </c>
      <c r="J195" s="507">
        <f>J185*地域経済性分析・初期条件!$M$41</f>
        <v>1927095.8842020703</v>
      </c>
      <c r="K195" s="507">
        <f>K185*地域経済性分析・初期条件!$M$41</f>
        <v>1927095.8842020703</v>
      </c>
      <c r="L195" s="507">
        <f>L185*地域経済性分析・初期条件!$M$41</f>
        <v>1927095.8842020703</v>
      </c>
      <c r="M195" s="507">
        <f>M185*地域経済性分析・初期条件!$M$41</f>
        <v>1927095.8842020703</v>
      </c>
      <c r="N195" s="507">
        <f>N185*地域経済性分析・初期条件!$M$41</f>
        <v>1927095.8842020703</v>
      </c>
      <c r="O195" s="507">
        <f>O185*地域経済性分析・初期条件!$M$41</f>
        <v>1927095.8842020703</v>
      </c>
      <c r="P195" s="507">
        <f>P185*地域経済性分析・初期条件!$M$41</f>
        <v>1927095.8842020703</v>
      </c>
      <c r="Q195" s="507">
        <f>Q185*地域経済性分析・初期条件!$M$41</f>
        <v>1927095.8842020703</v>
      </c>
      <c r="R195" s="507">
        <f>R185*地域経済性分析・初期条件!$M$41</f>
        <v>1927095.8842020703</v>
      </c>
      <c r="S195" s="507">
        <f>S185*地域経済性分析・初期条件!$M$41</f>
        <v>1927095.8842020703</v>
      </c>
      <c r="T195" s="507">
        <f>T185*地域経済性分析・初期条件!$M$41</f>
        <v>1927095.8842020703</v>
      </c>
      <c r="U195" s="507">
        <f>U185*地域経済性分析・初期条件!$M$41</f>
        <v>1927095.8842020703</v>
      </c>
      <c r="V195" s="507">
        <f>V185*地域経済性分析・初期条件!$M$41</f>
        <v>1927095.8842020703</v>
      </c>
      <c r="W195" s="507">
        <f>W185*地域経済性分析・初期条件!$M$41</f>
        <v>1927095.8842020703</v>
      </c>
      <c r="X195" s="507">
        <f>X185*地域経済性分析・初期条件!$M$41</f>
        <v>1927095.8842020703</v>
      </c>
      <c r="Y195" s="507">
        <f>Y185*地域経済性分析・初期条件!$M$41</f>
        <v>1927095.8842020703</v>
      </c>
      <c r="Z195" s="507">
        <f>Z185*地域経済性分析・初期条件!$M$41</f>
        <v>1927095.8842020703</v>
      </c>
      <c r="AA195" s="507">
        <f>AA185*地域経済性分析・初期条件!$M$41</f>
        <v>1927095.8842020703</v>
      </c>
      <c r="AB195" s="507">
        <f>AB185*地域経済性分析・初期条件!$M$41</f>
        <v>1927095.8842020703</v>
      </c>
      <c r="AC195" s="507">
        <f>AC185*地域経済性分析・初期条件!$M$41</f>
        <v>1927095.8842020703</v>
      </c>
      <c r="AD195" s="507">
        <f>AD185*地域経済性分析・初期条件!$M$41</f>
        <v>1927095.8842020703</v>
      </c>
      <c r="AE195" s="507">
        <f>AE185*地域経済性分析・初期条件!$M$41</f>
        <v>1927095.8842020703</v>
      </c>
      <c r="AF195" s="507">
        <f>AF185*地域経済性分析・初期条件!$M$41</f>
        <v>1927095.8842020703</v>
      </c>
      <c r="AG195" s="507">
        <f>AG185*地域経済性分析・初期条件!$M$41</f>
        <v>1927095.8842020703</v>
      </c>
      <c r="AH195" s="507">
        <f>AH185*地域経済性分析・初期条件!$M$41</f>
        <v>1927095.8842020703</v>
      </c>
      <c r="AI195" s="548">
        <f t="shared" si="65"/>
        <v>19270958.842020702</v>
      </c>
      <c r="AJ195" s="548">
        <f t="shared" si="66"/>
        <v>38541917.684041403</v>
      </c>
      <c r="AK195" s="510">
        <f t="shared" si="67"/>
        <v>57812876.526062109</v>
      </c>
    </row>
    <row r="196" spans="1:37" ht="11.5" x14ac:dyDescent="0.25">
      <c r="A196" s="546" t="str">
        <f>A184&amp;B196</f>
        <v>化学工業都道府県税収（二次以降）</v>
      </c>
      <c r="B196" s="452" t="s">
        <v>346</v>
      </c>
      <c r="C196" s="465" t="s">
        <v>37</v>
      </c>
      <c r="D196" s="507">
        <f>D185*地域経済性分析・初期条件!$N$41</f>
        <v>0</v>
      </c>
      <c r="E196" s="507">
        <f>E185*地域経済性分析・初期条件!$N$41</f>
        <v>454890.27619596216</v>
      </c>
      <c r="F196" s="507">
        <f>F185*地域経済性分析・初期条件!$N$41</f>
        <v>454890.27619596216</v>
      </c>
      <c r="G196" s="507">
        <f>G185*地域経済性分析・初期条件!$N$41</f>
        <v>454890.27619596216</v>
      </c>
      <c r="H196" s="507">
        <f>H185*地域経済性分析・初期条件!$N$41</f>
        <v>454890.27619596216</v>
      </c>
      <c r="I196" s="507">
        <f>I185*地域経済性分析・初期条件!$N$41</f>
        <v>454890.27619596216</v>
      </c>
      <c r="J196" s="507">
        <f>J185*地域経済性分析・初期条件!$N$41</f>
        <v>454890.27619596216</v>
      </c>
      <c r="K196" s="507">
        <f>K185*地域経済性分析・初期条件!$N$41</f>
        <v>454890.27619596216</v>
      </c>
      <c r="L196" s="507">
        <f>L185*地域経済性分析・初期条件!$N$41</f>
        <v>454890.27619596216</v>
      </c>
      <c r="M196" s="507">
        <f>M185*地域経済性分析・初期条件!$N$41</f>
        <v>454890.27619596216</v>
      </c>
      <c r="N196" s="507">
        <f>N185*地域経済性分析・初期条件!$N$41</f>
        <v>454890.27619596216</v>
      </c>
      <c r="O196" s="507">
        <f>O185*地域経済性分析・初期条件!$N$41</f>
        <v>454890.27619596216</v>
      </c>
      <c r="P196" s="507">
        <f>P185*地域経済性分析・初期条件!$N$41</f>
        <v>454890.27619596216</v>
      </c>
      <c r="Q196" s="507">
        <f>Q185*地域経済性分析・初期条件!$N$41</f>
        <v>454890.27619596216</v>
      </c>
      <c r="R196" s="507">
        <f>R185*地域経済性分析・初期条件!$N$41</f>
        <v>454890.27619596216</v>
      </c>
      <c r="S196" s="507">
        <f>S185*地域経済性分析・初期条件!$N$41</f>
        <v>454890.27619596216</v>
      </c>
      <c r="T196" s="507">
        <f>T185*地域経済性分析・初期条件!$N$41</f>
        <v>454890.27619596216</v>
      </c>
      <c r="U196" s="507">
        <f>U185*地域経済性分析・初期条件!$N$41</f>
        <v>454890.27619596216</v>
      </c>
      <c r="V196" s="507">
        <f>V185*地域経済性分析・初期条件!$N$41</f>
        <v>454890.27619596216</v>
      </c>
      <c r="W196" s="507">
        <f>W185*地域経済性分析・初期条件!$N$41</f>
        <v>454890.27619596216</v>
      </c>
      <c r="X196" s="507">
        <f>X185*地域経済性分析・初期条件!$N$41</f>
        <v>454890.27619596216</v>
      </c>
      <c r="Y196" s="507">
        <f>Y185*地域経済性分析・初期条件!$N$41</f>
        <v>454890.27619596216</v>
      </c>
      <c r="Z196" s="507">
        <f>Z185*地域経済性分析・初期条件!$N$41</f>
        <v>454890.27619596216</v>
      </c>
      <c r="AA196" s="507">
        <f>AA185*地域経済性分析・初期条件!$N$41</f>
        <v>454890.27619596216</v>
      </c>
      <c r="AB196" s="507">
        <f>AB185*地域経済性分析・初期条件!$N$41</f>
        <v>454890.27619596216</v>
      </c>
      <c r="AC196" s="507">
        <f>AC185*地域経済性分析・初期条件!$N$41</f>
        <v>454890.27619596216</v>
      </c>
      <c r="AD196" s="507">
        <f>AD185*地域経済性分析・初期条件!$N$41</f>
        <v>454890.27619596216</v>
      </c>
      <c r="AE196" s="507">
        <f>AE185*地域経済性分析・初期条件!$N$41</f>
        <v>454890.27619596216</v>
      </c>
      <c r="AF196" s="507">
        <f>AF185*地域経済性分析・初期条件!$N$41</f>
        <v>454890.27619596216</v>
      </c>
      <c r="AG196" s="507">
        <f>AG185*地域経済性分析・初期条件!$N$41</f>
        <v>454890.27619596216</v>
      </c>
      <c r="AH196" s="507">
        <f>AH185*地域経済性分析・初期条件!$N$41</f>
        <v>454890.27619596216</v>
      </c>
      <c r="AI196" s="548">
        <f t="shared" si="65"/>
        <v>4548902.7619596208</v>
      </c>
      <c r="AJ196" s="548">
        <f t="shared" si="66"/>
        <v>9097805.5239192415</v>
      </c>
      <c r="AK196" s="510">
        <f t="shared" si="67"/>
        <v>13646708.285878861</v>
      </c>
    </row>
    <row r="197" spans="1:37" ht="11.5" x14ac:dyDescent="0.25">
      <c r="A197" s="546" t="str">
        <f>A184&amp;B197</f>
        <v>化学工業市町村税収（二次以降）</v>
      </c>
      <c r="B197" s="452" t="s">
        <v>347</v>
      </c>
      <c r="C197" s="465" t="s">
        <v>37</v>
      </c>
      <c r="D197" s="507">
        <f>D185*地域経済性分析・初期条件!$O$41</f>
        <v>0</v>
      </c>
      <c r="E197" s="507">
        <f>E185*地域経済性分析・初期条件!$O$41</f>
        <v>164001.75074100133</v>
      </c>
      <c r="F197" s="507">
        <f>F185*地域経済性分析・初期条件!$O$41</f>
        <v>164001.75074100133</v>
      </c>
      <c r="G197" s="507">
        <f>G185*地域経済性分析・初期条件!$O$41</f>
        <v>164001.75074100133</v>
      </c>
      <c r="H197" s="507">
        <f>H185*地域経済性分析・初期条件!$O$41</f>
        <v>164001.75074100133</v>
      </c>
      <c r="I197" s="507">
        <f>I185*地域経済性分析・初期条件!$O$41</f>
        <v>164001.75074100133</v>
      </c>
      <c r="J197" s="507">
        <f>J185*地域経済性分析・初期条件!$O$41</f>
        <v>164001.75074100133</v>
      </c>
      <c r="K197" s="507">
        <f>K185*地域経済性分析・初期条件!$O$41</f>
        <v>164001.75074100133</v>
      </c>
      <c r="L197" s="507">
        <f>L185*地域経済性分析・初期条件!$O$41</f>
        <v>164001.75074100133</v>
      </c>
      <c r="M197" s="507">
        <f>M185*地域経済性分析・初期条件!$O$41</f>
        <v>164001.75074100133</v>
      </c>
      <c r="N197" s="507">
        <f>N185*地域経済性分析・初期条件!$O$41</f>
        <v>164001.75074100133</v>
      </c>
      <c r="O197" s="507">
        <f>O185*地域経済性分析・初期条件!$O$41</f>
        <v>164001.75074100133</v>
      </c>
      <c r="P197" s="507">
        <f>P185*地域経済性分析・初期条件!$O$41</f>
        <v>164001.75074100133</v>
      </c>
      <c r="Q197" s="507">
        <f>Q185*地域経済性分析・初期条件!$O$41</f>
        <v>164001.75074100133</v>
      </c>
      <c r="R197" s="507">
        <f>R185*地域経済性分析・初期条件!$O$41</f>
        <v>164001.75074100133</v>
      </c>
      <c r="S197" s="507">
        <f>S185*地域経済性分析・初期条件!$O$41</f>
        <v>164001.75074100133</v>
      </c>
      <c r="T197" s="507">
        <f>T185*地域経済性分析・初期条件!$O$41</f>
        <v>164001.75074100133</v>
      </c>
      <c r="U197" s="507">
        <f>U185*地域経済性分析・初期条件!$O$41</f>
        <v>164001.75074100133</v>
      </c>
      <c r="V197" s="507">
        <f>V185*地域経済性分析・初期条件!$O$41</f>
        <v>164001.75074100133</v>
      </c>
      <c r="W197" s="507">
        <f>W185*地域経済性分析・初期条件!$O$41</f>
        <v>164001.75074100133</v>
      </c>
      <c r="X197" s="507">
        <f>X185*地域経済性分析・初期条件!$O$41</f>
        <v>164001.75074100133</v>
      </c>
      <c r="Y197" s="507">
        <f>Y185*地域経済性分析・初期条件!$O$41</f>
        <v>164001.75074100133</v>
      </c>
      <c r="Z197" s="507">
        <f>Z185*地域経済性分析・初期条件!$O$41</f>
        <v>164001.75074100133</v>
      </c>
      <c r="AA197" s="507">
        <f>AA185*地域経済性分析・初期条件!$O$41</f>
        <v>164001.75074100133</v>
      </c>
      <c r="AB197" s="507">
        <f>AB185*地域経済性分析・初期条件!$O$41</f>
        <v>164001.75074100133</v>
      </c>
      <c r="AC197" s="507">
        <f>AC185*地域経済性分析・初期条件!$O$41</f>
        <v>164001.75074100133</v>
      </c>
      <c r="AD197" s="507">
        <f>AD185*地域経済性分析・初期条件!$O$41</f>
        <v>164001.75074100133</v>
      </c>
      <c r="AE197" s="507">
        <f>AE185*地域経済性分析・初期条件!$O$41</f>
        <v>164001.75074100133</v>
      </c>
      <c r="AF197" s="507">
        <f>AF185*地域経済性分析・初期条件!$O$41</f>
        <v>164001.75074100133</v>
      </c>
      <c r="AG197" s="507">
        <f>AG185*地域経済性分析・初期条件!$O$41</f>
        <v>164001.75074100133</v>
      </c>
      <c r="AH197" s="507">
        <f>AH185*地域経済性分析・初期条件!$O$41</f>
        <v>164001.75074100133</v>
      </c>
      <c r="AI197" s="548">
        <f t="shared" si="65"/>
        <v>1640017.5074100131</v>
      </c>
      <c r="AJ197" s="548">
        <f t="shared" si="66"/>
        <v>3280035.0148200253</v>
      </c>
      <c r="AK197" s="510">
        <f t="shared" si="67"/>
        <v>4920052.5222300375</v>
      </c>
    </row>
    <row r="198" spans="1:37" ht="11.5" x14ac:dyDescent="0.25">
      <c r="A198" s="502">
        <f>地域経済性分析・初期条件!$G$42</f>
        <v>0</v>
      </c>
      <c r="C198" s="465"/>
      <c r="D198" s="507"/>
      <c r="E198" s="507"/>
      <c r="F198" s="478"/>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548"/>
      <c r="AJ198" s="548"/>
      <c r="AK198" s="510"/>
    </row>
    <row r="199" spans="1:37" ht="11.5" x14ac:dyDescent="0.25">
      <c r="A199" s="546" t="str">
        <f>A198&amp;B199</f>
        <v>0売上（税別）</v>
      </c>
      <c r="B199" s="452" t="s">
        <v>1047</v>
      </c>
      <c r="C199" s="464" t="s">
        <v>37</v>
      </c>
      <c r="D199" s="507">
        <f>D183*地域経済性分析・初期条件!$F$42</f>
        <v>0</v>
      </c>
      <c r="E199" s="507">
        <f>E183*地域経済性分析・初期条件!$F$42</f>
        <v>0</v>
      </c>
      <c r="F199" s="507">
        <f>F183*地域経済性分析・初期条件!$F$42</f>
        <v>0</v>
      </c>
      <c r="G199" s="507">
        <f>G183*地域経済性分析・初期条件!$F$42</f>
        <v>0</v>
      </c>
      <c r="H199" s="507">
        <f>H183*地域経済性分析・初期条件!$F$42</f>
        <v>0</v>
      </c>
      <c r="I199" s="507">
        <f>I183*地域経済性分析・初期条件!$F$42</f>
        <v>0</v>
      </c>
      <c r="J199" s="507">
        <f>J183*地域経済性分析・初期条件!$F$42</f>
        <v>0</v>
      </c>
      <c r="K199" s="507">
        <f>K183*地域経済性分析・初期条件!$F$42</f>
        <v>0</v>
      </c>
      <c r="L199" s="507">
        <f>L183*地域経済性分析・初期条件!$F$42</f>
        <v>0</v>
      </c>
      <c r="M199" s="507">
        <f>M183*地域経済性分析・初期条件!$F$42</f>
        <v>0</v>
      </c>
      <c r="N199" s="507">
        <f>N183*地域経済性分析・初期条件!$F$42</f>
        <v>0</v>
      </c>
      <c r="O199" s="507">
        <f>O183*地域経済性分析・初期条件!$F$42</f>
        <v>0</v>
      </c>
      <c r="P199" s="507">
        <f>P183*地域経済性分析・初期条件!$F$42</f>
        <v>0</v>
      </c>
      <c r="Q199" s="507">
        <f>Q183*地域経済性分析・初期条件!$F$42</f>
        <v>0</v>
      </c>
      <c r="R199" s="507">
        <f>R183*地域経済性分析・初期条件!$F$42</f>
        <v>0</v>
      </c>
      <c r="S199" s="507">
        <f>S183*地域経済性分析・初期条件!$F$42</f>
        <v>0</v>
      </c>
      <c r="T199" s="507">
        <f>T183*地域経済性分析・初期条件!$F$42</f>
        <v>0</v>
      </c>
      <c r="U199" s="507">
        <f>U183*地域経済性分析・初期条件!$F$42</f>
        <v>0</v>
      </c>
      <c r="V199" s="507">
        <f>V183*地域経済性分析・初期条件!$F$42</f>
        <v>0</v>
      </c>
      <c r="W199" s="507">
        <f>W183*地域経済性分析・初期条件!$F$42</f>
        <v>0</v>
      </c>
      <c r="X199" s="507">
        <f>X183*地域経済性分析・初期条件!$F$42</f>
        <v>0</v>
      </c>
      <c r="Y199" s="507">
        <f>Y183*地域経済性分析・初期条件!$F$42</f>
        <v>0</v>
      </c>
      <c r="Z199" s="507">
        <f>Z183*地域経済性分析・初期条件!$F$42</f>
        <v>0</v>
      </c>
      <c r="AA199" s="507">
        <f>AA183*地域経済性分析・初期条件!$F$42</f>
        <v>0</v>
      </c>
      <c r="AB199" s="507">
        <f>AB183*地域経済性分析・初期条件!$F$42</f>
        <v>0</v>
      </c>
      <c r="AC199" s="507">
        <f>AC183*地域経済性分析・初期条件!$F$42</f>
        <v>0</v>
      </c>
      <c r="AD199" s="507">
        <f>AD183*地域経済性分析・初期条件!$F$42</f>
        <v>0</v>
      </c>
      <c r="AE199" s="507">
        <f>AE183*地域経済性分析・初期条件!$F$42</f>
        <v>0</v>
      </c>
      <c r="AF199" s="507">
        <f>AF183*地域経済性分析・初期条件!$F$42</f>
        <v>0</v>
      </c>
      <c r="AG199" s="507">
        <f>AG183*地域経済性分析・初期条件!$F$42</f>
        <v>0</v>
      </c>
      <c r="AH199" s="507">
        <f>AH183*地域経済性分析・初期条件!$F$42</f>
        <v>0</v>
      </c>
      <c r="AI199" s="548">
        <f t="shared" ref="AI199:AI211" si="68">SUM(D199:N199)</f>
        <v>0</v>
      </c>
      <c r="AJ199" s="548">
        <f t="shared" ref="AJ199:AJ204" si="69">SUM(D199:X199)</f>
        <v>0</v>
      </c>
      <c r="AK199" s="510">
        <f t="shared" ref="AK199:AK204" si="70">SUM(D199:AH199)</f>
        <v>0</v>
      </c>
    </row>
    <row r="200" spans="1:37" ht="11.5" x14ac:dyDescent="0.25">
      <c r="A200" s="546" t="str">
        <f>A198&amp;B200</f>
        <v>0消費税（都道府県）</v>
      </c>
      <c r="B200" s="452" t="s">
        <v>263</v>
      </c>
      <c r="C200" s="464" t="s">
        <v>37</v>
      </c>
      <c r="D200" s="507">
        <f>IF(D199&lt;0,0,D199*波及効果シート!$D$72)</f>
        <v>0</v>
      </c>
      <c r="E200" s="507">
        <f>IF(E199&lt;0,0,E199*波及効果シート!$D$72)</f>
        <v>0</v>
      </c>
      <c r="F200" s="507">
        <f>IF(F199&lt;0,0,F199*波及効果シート!$D$72)</f>
        <v>0</v>
      </c>
      <c r="G200" s="507">
        <f>IF(G199&lt;0,0,G199*波及効果シート!$D$72)</f>
        <v>0</v>
      </c>
      <c r="H200" s="507">
        <f>IF(H199&lt;0,0,H199*波及効果シート!$D$72)</f>
        <v>0</v>
      </c>
      <c r="I200" s="507">
        <f>IF(I199&lt;0,0,I199*波及効果シート!$D$72)</f>
        <v>0</v>
      </c>
      <c r="J200" s="507">
        <f>IF(J199&lt;0,0,J199*波及効果シート!$D$72)</f>
        <v>0</v>
      </c>
      <c r="K200" s="507">
        <f>IF(K199&lt;0,0,K199*波及効果シート!$D$72)</f>
        <v>0</v>
      </c>
      <c r="L200" s="507">
        <f>IF(L199&lt;0,0,L199*波及効果シート!$D$72)</f>
        <v>0</v>
      </c>
      <c r="M200" s="507">
        <f>IF(M199&lt;0,0,M199*波及効果シート!$D$72)</f>
        <v>0</v>
      </c>
      <c r="N200" s="507">
        <f>IF(N199&lt;0,0,N199*波及効果シート!$D$72)</f>
        <v>0</v>
      </c>
      <c r="O200" s="507">
        <f>IF(O199&lt;0,0,O199*波及効果シート!$D$72)</f>
        <v>0</v>
      </c>
      <c r="P200" s="507">
        <f>IF(P199&lt;0,0,P199*波及効果シート!$D$72)</f>
        <v>0</v>
      </c>
      <c r="Q200" s="507">
        <f>IF(Q199&lt;0,0,Q199*波及効果シート!$D$72)</f>
        <v>0</v>
      </c>
      <c r="R200" s="507">
        <f>IF(R199&lt;0,0,R199*波及効果シート!$D$72)</f>
        <v>0</v>
      </c>
      <c r="S200" s="507">
        <f>IF(S199&lt;0,0,S199*波及効果シート!$D$72)</f>
        <v>0</v>
      </c>
      <c r="T200" s="507">
        <f>IF(T199&lt;0,0,T199*波及効果シート!$D$72)</f>
        <v>0</v>
      </c>
      <c r="U200" s="507">
        <f>IF(U199&lt;0,0,U199*波及効果シート!$D$72)</f>
        <v>0</v>
      </c>
      <c r="V200" s="507">
        <f>IF(V199&lt;0,0,V199*波及効果シート!$D$72)</f>
        <v>0</v>
      </c>
      <c r="W200" s="507">
        <f>IF(W199&lt;0,0,W199*波及効果シート!$D$72)</f>
        <v>0</v>
      </c>
      <c r="X200" s="507">
        <f>IF(X199&lt;0,0,X199*波及効果シート!$D$72)</f>
        <v>0</v>
      </c>
      <c r="Y200" s="507">
        <f>IF(Y199&lt;0,0,Y199*波及効果シート!$D$72)</f>
        <v>0</v>
      </c>
      <c r="Z200" s="507">
        <f>IF(Z199&lt;0,0,Z199*波及効果シート!$D$72)</f>
        <v>0</v>
      </c>
      <c r="AA200" s="507">
        <f>IF(AA199&lt;0,0,AA199*波及効果シート!$D$72)</f>
        <v>0</v>
      </c>
      <c r="AB200" s="507">
        <f>IF(AB199&lt;0,0,AB199*波及効果シート!$D$72)</f>
        <v>0</v>
      </c>
      <c r="AC200" s="507">
        <f>IF(AC199&lt;0,0,AC199*波及効果シート!$D$72)</f>
        <v>0</v>
      </c>
      <c r="AD200" s="507">
        <f>IF(AD199&lt;0,0,AD199*波及効果シート!$D$72)</f>
        <v>0</v>
      </c>
      <c r="AE200" s="507">
        <f>IF(AE199&lt;0,0,AE199*波及効果シート!$D$72)</f>
        <v>0</v>
      </c>
      <c r="AF200" s="507">
        <f>IF(AF199&lt;0,0,AF199*波及効果シート!$D$72)</f>
        <v>0</v>
      </c>
      <c r="AG200" s="507">
        <f>IF(AG199&lt;0,0,AG199*波及効果シート!$D$72)</f>
        <v>0</v>
      </c>
      <c r="AH200" s="507">
        <f>IF(AH199&lt;0,0,AH199*波及効果シート!$D$72)</f>
        <v>0</v>
      </c>
      <c r="AI200" s="548">
        <f t="shared" si="68"/>
        <v>0</v>
      </c>
      <c r="AJ200" s="548">
        <f t="shared" si="69"/>
        <v>0</v>
      </c>
      <c r="AK200" s="510">
        <f t="shared" si="70"/>
        <v>0</v>
      </c>
    </row>
    <row r="201" spans="1:37" ht="11.5" x14ac:dyDescent="0.25">
      <c r="A201" s="546" t="str">
        <f>A198&amp;B201</f>
        <v>0消費税（市町村）</v>
      </c>
      <c r="B201" s="452" t="s">
        <v>1048</v>
      </c>
      <c r="C201" s="465" t="s">
        <v>37</v>
      </c>
      <c r="D201" s="507">
        <f>IF(D199&lt;0,0,D199*波及効果シート!$D$74)</f>
        <v>0</v>
      </c>
      <c r="E201" s="507">
        <f>IF(E199&lt;0,0,E199*波及効果シート!$D$74)</f>
        <v>0</v>
      </c>
      <c r="F201" s="507">
        <f>IF(F199&lt;0,0,F199*波及効果シート!$D$74)</f>
        <v>0</v>
      </c>
      <c r="G201" s="507">
        <f>IF(G199&lt;0,0,G199*波及効果シート!$D$74)</f>
        <v>0</v>
      </c>
      <c r="H201" s="507">
        <f>IF(H199&lt;0,0,H199*波及効果シート!$D$74)</f>
        <v>0</v>
      </c>
      <c r="I201" s="507">
        <f>IF(I199&lt;0,0,I199*波及効果シート!$D$74)</f>
        <v>0</v>
      </c>
      <c r="J201" s="507">
        <f>IF(J199&lt;0,0,J199*波及効果シート!$D$74)</f>
        <v>0</v>
      </c>
      <c r="K201" s="507">
        <f>IF(K199&lt;0,0,K199*波及効果シート!$D$74)</f>
        <v>0</v>
      </c>
      <c r="L201" s="507">
        <f>IF(L199&lt;0,0,L199*波及効果シート!$D$74)</f>
        <v>0</v>
      </c>
      <c r="M201" s="507">
        <f>IF(M199&lt;0,0,M199*波及効果シート!$D$74)</f>
        <v>0</v>
      </c>
      <c r="N201" s="507">
        <f>IF(N199&lt;0,0,N199*波及効果シート!$D$74)</f>
        <v>0</v>
      </c>
      <c r="O201" s="507">
        <f>IF(O199&lt;0,0,O199*波及効果シート!$D$74)</f>
        <v>0</v>
      </c>
      <c r="P201" s="507">
        <f>IF(P199&lt;0,0,P199*波及効果シート!$D$74)</f>
        <v>0</v>
      </c>
      <c r="Q201" s="507">
        <f>IF(Q199&lt;0,0,Q199*波及効果シート!$D$74)</f>
        <v>0</v>
      </c>
      <c r="R201" s="507">
        <f>IF(R199&lt;0,0,R199*波及効果シート!$D$74)</f>
        <v>0</v>
      </c>
      <c r="S201" s="507">
        <f>IF(S199&lt;0,0,S199*波及効果シート!$D$74)</f>
        <v>0</v>
      </c>
      <c r="T201" s="507">
        <f>IF(T199&lt;0,0,T199*波及効果シート!$D$74)</f>
        <v>0</v>
      </c>
      <c r="U201" s="507">
        <f>IF(U199&lt;0,0,U199*波及効果シート!$D$74)</f>
        <v>0</v>
      </c>
      <c r="V201" s="507">
        <f>IF(V199&lt;0,0,V199*波及効果シート!$D$74)</f>
        <v>0</v>
      </c>
      <c r="W201" s="507">
        <f>IF(W199&lt;0,0,W199*波及効果シート!$D$74)</f>
        <v>0</v>
      </c>
      <c r="X201" s="507">
        <f>IF(X199&lt;0,0,X199*波及効果シート!$D$74)</f>
        <v>0</v>
      </c>
      <c r="Y201" s="507">
        <f>IF(Y199&lt;0,0,Y199*波及効果シート!$D$74)</f>
        <v>0</v>
      </c>
      <c r="Z201" s="507">
        <f>IF(Z199&lt;0,0,Z199*波及効果シート!$D$74)</f>
        <v>0</v>
      </c>
      <c r="AA201" s="507">
        <f>IF(AA199&lt;0,0,AA199*波及効果シート!$D$74)</f>
        <v>0</v>
      </c>
      <c r="AB201" s="507">
        <f>IF(AB199&lt;0,0,AB199*波及効果シート!$D$74)</f>
        <v>0</v>
      </c>
      <c r="AC201" s="507">
        <f>IF(AC199&lt;0,0,AC199*波及効果シート!$D$74)</f>
        <v>0</v>
      </c>
      <c r="AD201" s="507">
        <f>IF(AD199&lt;0,0,AD199*波及効果シート!$D$74)</f>
        <v>0</v>
      </c>
      <c r="AE201" s="507">
        <f>IF(AE199&lt;0,0,AE199*波及効果シート!$D$74)</f>
        <v>0</v>
      </c>
      <c r="AF201" s="507">
        <f>IF(AF199&lt;0,0,AF199*波及効果シート!$D$74)</f>
        <v>0</v>
      </c>
      <c r="AG201" s="507">
        <f>IF(AG199&lt;0,0,AG199*波及効果シート!$D$74)</f>
        <v>0</v>
      </c>
      <c r="AH201" s="507">
        <f>IF(AH199&lt;0,0,AH199*波及効果シート!$D$74)</f>
        <v>0</v>
      </c>
      <c r="AI201" s="548">
        <f t="shared" si="68"/>
        <v>0</v>
      </c>
      <c r="AJ201" s="548">
        <f t="shared" si="69"/>
        <v>0</v>
      </c>
      <c r="AK201" s="510">
        <f t="shared" si="70"/>
        <v>0</v>
      </c>
    </row>
    <row r="202" spans="1:37" ht="11.5" x14ac:dyDescent="0.25">
      <c r="A202" s="546" t="str">
        <f>A198&amp;B202</f>
        <v>0所得税（国税）</v>
      </c>
      <c r="B202" s="452" t="s">
        <v>356</v>
      </c>
      <c r="C202" s="465" t="s">
        <v>37</v>
      </c>
      <c r="D202" s="507">
        <f>D199*地域経済性分析・初期条件!$P$42</f>
        <v>0</v>
      </c>
      <c r="E202" s="507">
        <f>E199*地域経済性分析・初期条件!$P$42</f>
        <v>0</v>
      </c>
      <c r="F202" s="507">
        <f>F199*地域経済性分析・初期条件!$P$42</f>
        <v>0</v>
      </c>
      <c r="G202" s="507">
        <f>G199*地域経済性分析・初期条件!$P$42</f>
        <v>0</v>
      </c>
      <c r="H202" s="507">
        <f>H199*地域経済性分析・初期条件!$P$42</f>
        <v>0</v>
      </c>
      <c r="I202" s="507">
        <f>I199*地域経済性分析・初期条件!$P$42</f>
        <v>0</v>
      </c>
      <c r="J202" s="507">
        <f>J199*地域経済性分析・初期条件!$P$42</f>
        <v>0</v>
      </c>
      <c r="K202" s="507">
        <f>K199*地域経済性分析・初期条件!$P$42</f>
        <v>0</v>
      </c>
      <c r="L202" s="507">
        <f>L199*地域経済性分析・初期条件!$P$42</f>
        <v>0</v>
      </c>
      <c r="M202" s="507">
        <f>M199*地域経済性分析・初期条件!$P$42</f>
        <v>0</v>
      </c>
      <c r="N202" s="507">
        <f>N199*地域経済性分析・初期条件!$P$42</f>
        <v>0</v>
      </c>
      <c r="O202" s="507">
        <f>O199*地域経済性分析・初期条件!$P$42</f>
        <v>0</v>
      </c>
      <c r="P202" s="507">
        <f>P199*地域経済性分析・初期条件!$P$42</f>
        <v>0</v>
      </c>
      <c r="Q202" s="507">
        <f>Q199*地域経済性分析・初期条件!$P$42</f>
        <v>0</v>
      </c>
      <c r="R202" s="507">
        <f>R199*地域経済性分析・初期条件!$P$42</f>
        <v>0</v>
      </c>
      <c r="S202" s="507">
        <f>S199*地域経済性分析・初期条件!$P$42</f>
        <v>0</v>
      </c>
      <c r="T202" s="507">
        <f>T199*地域経済性分析・初期条件!$P$42</f>
        <v>0</v>
      </c>
      <c r="U202" s="507">
        <f>U199*地域経済性分析・初期条件!$P$42</f>
        <v>0</v>
      </c>
      <c r="V202" s="507">
        <f>V199*地域経済性分析・初期条件!$P$42</f>
        <v>0</v>
      </c>
      <c r="W202" s="507">
        <f>W199*地域経済性分析・初期条件!$P$42</f>
        <v>0</v>
      </c>
      <c r="X202" s="507">
        <f>X199*地域経済性分析・初期条件!$P$42</f>
        <v>0</v>
      </c>
      <c r="Y202" s="507">
        <f>Y199*地域経済性分析・初期条件!$P$42</f>
        <v>0</v>
      </c>
      <c r="Z202" s="507">
        <f>Z199*地域経済性分析・初期条件!$P$42</f>
        <v>0</v>
      </c>
      <c r="AA202" s="507">
        <f>AA199*地域経済性分析・初期条件!$P$42</f>
        <v>0</v>
      </c>
      <c r="AB202" s="507">
        <f>AB199*地域経済性分析・初期条件!$P$42</f>
        <v>0</v>
      </c>
      <c r="AC202" s="507">
        <f>AC199*地域経済性分析・初期条件!$P$42</f>
        <v>0</v>
      </c>
      <c r="AD202" s="507">
        <f>AD199*地域経済性分析・初期条件!$P$42</f>
        <v>0</v>
      </c>
      <c r="AE202" s="507">
        <f>AE199*地域経済性分析・初期条件!$P$42</f>
        <v>0</v>
      </c>
      <c r="AF202" s="507">
        <f>AF199*地域経済性分析・初期条件!$P$42</f>
        <v>0</v>
      </c>
      <c r="AG202" s="507">
        <f>AG199*地域経済性分析・初期条件!$P$42</f>
        <v>0</v>
      </c>
      <c r="AH202" s="507">
        <f>AH199*地域経済性分析・初期条件!$P$42</f>
        <v>0</v>
      </c>
      <c r="AI202" s="548">
        <f t="shared" si="68"/>
        <v>0</v>
      </c>
      <c r="AJ202" s="548">
        <f t="shared" si="69"/>
        <v>0</v>
      </c>
      <c r="AK202" s="510">
        <f t="shared" si="70"/>
        <v>0</v>
      </c>
    </row>
    <row r="203" spans="1:37" ht="11.5" x14ac:dyDescent="0.25">
      <c r="A203" s="546" t="str">
        <f>A198&amp;B203</f>
        <v>0法人税（国税）</v>
      </c>
      <c r="B203" s="452" t="s">
        <v>355</v>
      </c>
      <c r="C203" s="465" t="s">
        <v>37</v>
      </c>
      <c r="D203" s="507">
        <f>D199*地域経済性分析・初期条件!$Q$42</f>
        <v>0</v>
      </c>
      <c r="E203" s="507">
        <f>E199*地域経済性分析・初期条件!$Q$42</f>
        <v>0</v>
      </c>
      <c r="F203" s="507">
        <f>F199*地域経済性分析・初期条件!$Q$42</f>
        <v>0</v>
      </c>
      <c r="G203" s="507">
        <f>G199*地域経済性分析・初期条件!$Q$42</f>
        <v>0</v>
      </c>
      <c r="H203" s="507">
        <f>H199*地域経済性分析・初期条件!$Q$42</f>
        <v>0</v>
      </c>
      <c r="I203" s="507">
        <f>I199*地域経済性分析・初期条件!$Q$42</f>
        <v>0</v>
      </c>
      <c r="J203" s="507">
        <f>J199*地域経済性分析・初期条件!$Q$42</f>
        <v>0</v>
      </c>
      <c r="K203" s="507">
        <f>K199*地域経済性分析・初期条件!$Q$42</f>
        <v>0</v>
      </c>
      <c r="L203" s="507">
        <f>L199*地域経済性分析・初期条件!$Q$42</f>
        <v>0</v>
      </c>
      <c r="M203" s="507">
        <f>M199*地域経済性分析・初期条件!$Q$42</f>
        <v>0</v>
      </c>
      <c r="N203" s="507">
        <f>N199*地域経済性分析・初期条件!$Q$42</f>
        <v>0</v>
      </c>
      <c r="O203" s="507">
        <f>O199*地域経済性分析・初期条件!$Q$42</f>
        <v>0</v>
      </c>
      <c r="P203" s="507">
        <f>P199*地域経済性分析・初期条件!$Q$42</f>
        <v>0</v>
      </c>
      <c r="Q203" s="507">
        <f>Q199*地域経済性分析・初期条件!$Q$42</f>
        <v>0</v>
      </c>
      <c r="R203" s="507">
        <f>R199*地域経済性分析・初期条件!$Q$42</f>
        <v>0</v>
      </c>
      <c r="S203" s="507">
        <f>S199*地域経済性分析・初期条件!$Q$42</f>
        <v>0</v>
      </c>
      <c r="T203" s="507">
        <f>T199*地域経済性分析・初期条件!$Q$42</f>
        <v>0</v>
      </c>
      <c r="U203" s="507">
        <f>U199*地域経済性分析・初期条件!$Q$42</f>
        <v>0</v>
      </c>
      <c r="V203" s="507">
        <f>V199*地域経済性分析・初期条件!$Q$42</f>
        <v>0</v>
      </c>
      <c r="W203" s="507">
        <f>W199*地域経済性分析・初期条件!$Q$42</f>
        <v>0</v>
      </c>
      <c r="X203" s="507">
        <f>X199*地域経済性分析・初期条件!$Q$42</f>
        <v>0</v>
      </c>
      <c r="Y203" s="507">
        <f>Y199*地域経済性分析・初期条件!$Q$42</f>
        <v>0</v>
      </c>
      <c r="Z203" s="507">
        <f>Z199*地域経済性分析・初期条件!$Q$42</f>
        <v>0</v>
      </c>
      <c r="AA203" s="507">
        <f>AA199*地域経済性分析・初期条件!$Q$42</f>
        <v>0</v>
      </c>
      <c r="AB203" s="507">
        <f>AB199*地域経済性分析・初期条件!$Q$42</f>
        <v>0</v>
      </c>
      <c r="AC203" s="507">
        <f>AC199*地域経済性分析・初期条件!$Q$42</f>
        <v>0</v>
      </c>
      <c r="AD203" s="507">
        <f>AD199*地域経済性分析・初期条件!$Q$42</f>
        <v>0</v>
      </c>
      <c r="AE203" s="507">
        <f>AE199*地域経済性分析・初期条件!$Q$42</f>
        <v>0</v>
      </c>
      <c r="AF203" s="507">
        <f>AF199*地域経済性分析・初期条件!$Q$42</f>
        <v>0</v>
      </c>
      <c r="AG203" s="507">
        <f>AG199*地域経済性分析・初期条件!$Q$42</f>
        <v>0</v>
      </c>
      <c r="AH203" s="507">
        <f>AH199*地域経済性分析・初期条件!$Q$42</f>
        <v>0</v>
      </c>
      <c r="AI203" s="548">
        <f t="shared" si="68"/>
        <v>0</v>
      </c>
      <c r="AJ203" s="548">
        <f t="shared" si="69"/>
        <v>0</v>
      </c>
      <c r="AK203" s="510">
        <f t="shared" si="70"/>
        <v>0</v>
      </c>
    </row>
    <row r="204" spans="1:37" ht="11.5" x14ac:dyDescent="0.25">
      <c r="A204" s="546" t="str">
        <f>A198&amp;B204</f>
        <v>0従業員の可処分所得（一次）</v>
      </c>
      <c r="B204" s="452" t="s">
        <v>339</v>
      </c>
      <c r="C204" s="464" t="s">
        <v>37</v>
      </c>
      <c r="D204" s="507">
        <f>D199*地域経済性分析・初期条件!$H$42</f>
        <v>0</v>
      </c>
      <c r="E204" s="507">
        <f>E199*地域経済性分析・初期条件!$H$42</f>
        <v>0</v>
      </c>
      <c r="F204" s="507">
        <f>F199*地域経済性分析・初期条件!$H$42</f>
        <v>0</v>
      </c>
      <c r="G204" s="507">
        <f>G199*地域経済性分析・初期条件!$H$42</f>
        <v>0</v>
      </c>
      <c r="H204" s="507">
        <f>H199*地域経済性分析・初期条件!$H$42</f>
        <v>0</v>
      </c>
      <c r="I204" s="507">
        <f>I199*地域経済性分析・初期条件!$H$42</f>
        <v>0</v>
      </c>
      <c r="J204" s="507">
        <f>J199*地域経済性分析・初期条件!$H$42</f>
        <v>0</v>
      </c>
      <c r="K204" s="507">
        <f>K199*地域経済性分析・初期条件!$H$42</f>
        <v>0</v>
      </c>
      <c r="L204" s="507">
        <f>L199*地域経済性分析・初期条件!$H$42</f>
        <v>0</v>
      </c>
      <c r="M204" s="507">
        <f>M199*地域経済性分析・初期条件!$H$42</f>
        <v>0</v>
      </c>
      <c r="N204" s="507">
        <f>N199*地域経済性分析・初期条件!$H$42</f>
        <v>0</v>
      </c>
      <c r="O204" s="507">
        <f>O199*地域経済性分析・初期条件!$H$42</f>
        <v>0</v>
      </c>
      <c r="P204" s="507">
        <f>P199*地域経済性分析・初期条件!$H$42</f>
        <v>0</v>
      </c>
      <c r="Q204" s="507">
        <f>Q199*地域経済性分析・初期条件!$H$42</f>
        <v>0</v>
      </c>
      <c r="R204" s="507">
        <f>R199*地域経済性分析・初期条件!$H$42</f>
        <v>0</v>
      </c>
      <c r="S204" s="507">
        <f>S199*地域経済性分析・初期条件!$H$42</f>
        <v>0</v>
      </c>
      <c r="T204" s="507">
        <f>T199*地域経済性分析・初期条件!$H$42</f>
        <v>0</v>
      </c>
      <c r="U204" s="507">
        <f>U199*地域経済性分析・初期条件!$H$42</f>
        <v>0</v>
      </c>
      <c r="V204" s="507">
        <f>V199*地域経済性分析・初期条件!$H$42</f>
        <v>0</v>
      </c>
      <c r="W204" s="507">
        <f>W199*地域経済性分析・初期条件!$H$42</f>
        <v>0</v>
      </c>
      <c r="X204" s="507">
        <f>X199*地域経済性分析・初期条件!$H$42</f>
        <v>0</v>
      </c>
      <c r="Y204" s="507">
        <f>Y199*地域経済性分析・初期条件!$H$42</f>
        <v>0</v>
      </c>
      <c r="Z204" s="507">
        <f>Z199*地域経済性分析・初期条件!$H$42</f>
        <v>0</v>
      </c>
      <c r="AA204" s="507">
        <f>AA199*地域経済性分析・初期条件!$H$42</f>
        <v>0</v>
      </c>
      <c r="AB204" s="507">
        <f>AB199*地域経済性分析・初期条件!$H$42</f>
        <v>0</v>
      </c>
      <c r="AC204" s="507">
        <f>AC199*地域経済性分析・初期条件!$H$42</f>
        <v>0</v>
      </c>
      <c r="AD204" s="507">
        <f>AD199*地域経済性分析・初期条件!$H$42</f>
        <v>0</v>
      </c>
      <c r="AE204" s="507">
        <f>AE199*地域経済性分析・初期条件!$H$42</f>
        <v>0</v>
      </c>
      <c r="AF204" s="507">
        <f>AF199*地域経済性分析・初期条件!$H$42</f>
        <v>0</v>
      </c>
      <c r="AG204" s="507">
        <f>AG199*地域経済性分析・初期条件!$H$42</f>
        <v>0</v>
      </c>
      <c r="AH204" s="507">
        <f>AH199*地域経済性分析・初期条件!$H$42</f>
        <v>0</v>
      </c>
      <c r="AI204" s="548">
        <f t="shared" si="68"/>
        <v>0</v>
      </c>
      <c r="AJ204" s="548">
        <f t="shared" si="69"/>
        <v>0</v>
      </c>
      <c r="AK204" s="510">
        <f t="shared" si="70"/>
        <v>0</v>
      </c>
    </row>
    <row r="205" spans="1:37" ht="11.5" x14ac:dyDescent="0.25">
      <c r="A205" s="546" t="str">
        <f>A198&amp;B205</f>
        <v>0企業の税引後利益（一次）</v>
      </c>
      <c r="B205" s="452" t="s">
        <v>340</v>
      </c>
      <c r="C205" s="464" t="s">
        <v>37</v>
      </c>
      <c r="D205" s="507">
        <f>D199*地域経済性分析・初期条件!$I$42</f>
        <v>0</v>
      </c>
      <c r="E205" s="507">
        <f>E199*地域経済性分析・初期条件!$I$42</f>
        <v>0</v>
      </c>
      <c r="F205" s="507">
        <f>F199*地域経済性分析・初期条件!$I$42</f>
        <v>0</v>
      </c>
      <c r="G205" s="507">
        <f>G199*地域経済性分析・初期条件!$I$42</f>
        <v>0</v>
      </c>
      <c r="H205" s="507">
        <f>H199*地域経済性分析・初期条件!$I$42</f>
        <v>0</v>
      </c>
      <c r="I205" s="507">
        <f>I199*地域経済性分析・初期条件!$I$42</f>
        <v>0</v>
      </c>
      <c r="J205" s="507">
        <f>J199*地域経済性分析・初期条件!$I$42</f>
        <v>0</v>
      </c>
      <c r="K205" s="507">
        <f>K199*地域経済性分析・初期条件!$I$42</f>
        <v>0</v>
      </c>
      <c r="L205" s="507">
        <f>L199*地域経済性分析・初期条件!$I$42</f>
        <v>0</v>
      </c>
      <c r="M205" s="507">
        <f>M199*地域経済性分析・初期条件!$I$42</f>
        <v>0</v>
      </c>
      <c r="N205" s="507">
        <f>N199*地域経済性分析・初期条件!$I$42</f>
        <v>0</v>
      </c>
      <c r="O205" s="507">
        <f>O199*地域経済性分析・初期条件!$I$42</f>
        <v>0</v>
      </c>
      <c r="P205" s="507">
        <f>P199*地域経済性分析・初期条件!$I$42</f>
        <v>0</v>
      </c>
      <c r="Q205" s="507">
        <f>Q199*地域経済性分析・初期条件!$I$42</f>
        <v>0</v>
      </c>
      <c r="R205" s="507">
        <f>R199*地域経済性分析・初期条件!$I$42</f>
        <v>0</v>
      </c>
      <c r="S205" s="507">
        <f>S199*地域経済性分析・初期条件!$I$42</f>
        <v>0</v>
      </c>
      <c r="T205" s="507">
        <f>T199*地域経済性分析・初期条件!$I$42</f>
        <v>0</v>
      </c>
      <c r="U205" s="507">
        <f>U199*地域経済性分析・初期条件!$I$42</f>
        <v>0</v>
      </c>
      <c r="V205" s="507">
        <f>V199*地域経済性分析・初期条件!$I$42</f>
        <v>0</v>
      </c>
      <c r="W205" s="507">
        <f>W199*地域経済性分析・初期条件!$I$42</f>
        <v>0</v>
      </c>
      <c r="X205" s="507">
        <f>X199*地域経済性分析・初期条件!$I$42</f>
        <v>0</v>
      </c>
      <c r="Y205" s="507">
        <f>Y199*地域経済性分析・初期条件!$I$42</f>
        <v>0</v>
      </c>
      <c r="Z205" s="507">
        <f>Z199*地域経済性分析・初期条件!$I$42</f>
        <v>0</v>
      </c>
      <c r="AA205" s="507">
        <f>AA199*地域経済性分析・初期条件!$I$42</f>
        <v>0</v>
      </c>
      <c r="AB205" s="507">
        <f>AB199*地域経済性分析・初期条件!$I$42</f>
        <v>0</v>
      </c>
      <c r="AC205" s="507">
        <f>AC199*地域経済性分析・初期条件!$I$42</f>
        <v>0</v>
      </c>
      <c r="AD205" s="507">
        <f>AD199*地域経済性分析・初期条件!$I$42</f>
        <v>0</v>
      </c>
      <c r="AE205" s="507">
        <f>AE199*地域経済性分析・初期条件!$I$42</f>
        <v>0</v>
      </c>
      <c r="AF205" s="507">
        <f>AF199*地域経済性分析・初期条件!$I$42</f>
        <v>0</v>
      </c>
      <c r="AG205" s="507">
        <f>AG199*地域経済性分析・初期条件!$I$42</f>
        <v>0</v>
      </c>
      <c r="AH205" s="507">
        <f>AH199*地域経済性分析・初期条件!$I$42</f>
        <v>0</v>
      </c>
      <c r="AI205" s="548">
        <f t="shared" si="68"/>
        <v>0</v>
      </c>
      <c r="AJ205" s="548">
        <f t="shared" ref="AJ205:AJ211" si="71">SUM(D205:X205)</f>
        <v>0</v>
      </c>
      <c r="AK205" s="510">
        <f t="shared" ref="AK205:AK211" si="72">SUM(D205:AH205)</f>
        <v>0</v>
      </c>
    </row>
    <row r="206" spans="1:37" ht="11.5" x14ac:dyDescent="0.25">
      <c r="A206" s="546" t="str">
        <f>A198&amp;B206</f>
        <v>0都道府県税収（一次）</v>
      </c>
      <c r="B206" s="452" t="s">
        <v>341</v>
      </c>
      <c r="C206" s="464" t="s">
        <v>37</v>
      </c>
      <c r="D206" s="507">
        <f>D199*地域経済性分析・初期条件!$J$42</f>
        <v>0</v>
      </c>
      <c r="E206" s="507">
        <f>E199*地域経済性分析・初期条件!$J$42</f>
        <v>0</v>
      </c>
      <c r="F206" s="507">
        <f>F199*地域経済性分析・初期条件!$J$42</f>
        <v>0</v>
      </c>
      <c r="G206" s="507">
        <f>G199*地域経済性分析・初期条件!$J$42</f>
        <v>0</v>
      </c>
      <c r="H206" s="507">
        <f>H199*地域経済性分析・初期条件!$J$42</f>
        <v>0</v>
      </c>
      <c r="I206" s="507">
        <f>I199*地域経済性分析・初期条件!$J$42</f>
        <v>0</v>
      </c>
      <c r="J206" s="507">
        <f>J199*地域経済性分析・初期条件!$J$42</f>
        <v>0</v>
      </c>
      <c r="K206" s="507">
        <f>K199*地域経済性分析・初期条件!$J$42</f>
        <v>0</v>
      </c>
      <c r="L206" s="507">
        <f>L199*地域経済性分析・初期条件!$J$42</f>
        <v>0</v>
      </c>
      <c r="M206" s="507">
        <f>M199*地域経済性分析・初期条件!$J$42</f>
        <v>0</v>
      </c>
      <c r="N206" s="507">
        <f>N199*地域経済性分析・初期条件!$J$42</f>
        <v>0</v>
      </c>
      <c r="O206" s="507">
        <f>O199*地域経済性分析・初期条件!$J$42</f>
        <v>0</v>
      </c>
      <c r="P206" s="507">
        <f>P199*地域経済性分析・初期条件!$J$42</f>
        <v>0</v>
      </c>
      <c r="Q206" s="507">
        <f>Q199*地域経済性分析・初期条件!$J$42</f>
        <v>0</v>
      </c>
      <c r="R206" s="507">
        <f>R199*地域経済性分析・初期条件!$J$42</f>
        <v>0</v>
      </c>
      <c r="S206" s="507">
        <f>S199*地域経済性分析・初期条件!$J$42</f>
        <v>0</v>
      </c>
      <c r="T206" s="507">
        <f>T199*地域経済性分析・初期条件!$J$42</f>
        <v>0</v>
      </c>
      <c r="U206" s="507">
        <f>U199*地域経済性分析・初期条件!$J$42</f>
        <v>0</v>
      </c>
      <c r="V206" s="507">
        <f>V199*地域経済性分析・初期条件!$J$42</f>
        <v>0</v>
      </c>
      <c r="W206" s="507">
        <f>W199*地域経済性分析・初期条件!$J$42</f>
        <v>0</v>
      </c>
      <c r="X206" s="507">
        <f>X199*地域経済性分析・初期条件!$J$42</f>
        <v>0</v>
      </c>
      <c r="Y206" s="507">
        <f>Y199*地域経済性分析・初期条件!$J$42</f>
        <v>0</v>
      </c>
      <c r="Z206" s="507">
        <f>Z199*地域経済性分析・初期条件!$J$42</f>
        <v>0</v>
      </c>
      <c r="AA206" s="507">
        <f>AA199*地域経済性分析・初期条件!$J$42</f>
        <v>0</v>
      </c>
      <c r="AB206" s="507">
        <f>AB199*地域経済性分析・初期条件!$J$42</f>
        <v>0</v>
      </c>
      <c r="AC206" s="507">
        <f>AC199*地域経済性分析・初期条件!$J$42</f>
        <v>0</v>
      </c>
      <c r="AD206" s="507">
        <f>AD199*地域経済性分析・初期条件!$J$42</f>
        <v>0</v>
      </c>
      <c r="AE206" s="507">
        <f>AE199*地域経済性分析・初期条件!$J$42</f>
        <v>0</v>
      </c>
      <c r="AF206" s="507">
        <f>AF199*地域経済性分析・初期条件!$J$42</f>
        <v>0</v>
      </c>
      <c r="AG206" s="507">
        <f>AG199*地域経済性分析・初期条件!$J$42</f>
        <v>0</v>
      </c>
      <c r="AH206" s="507">
        <f>AH199*地域経済性分析・初期条件!$J$42</f>
        <v>0</v>
      </c>
      <c r="AI206" s="548">
        <f t="shared" si="68"/>
        <v>0</v>
      </c>
      <c r="AJ206" s="548">
        <f t="shared" si="71"/>
        <v>0</v>
      </c>
      <c r="AK206" s="510">
        <f t="shared" si="72"/>
        <v>0</v>
      </c>
    </row>
    <row r="207" spans="1:37" ht="11.5" x14ac:dyDescent="0.25">
      <c r="A207" s="546" t="str">
        <f>A198&amp;B207</f>
        <v>0市町村税収（一次）</v>
      </c>
      <c r="B207" s="452" t="s">
        <v>342</v>
      </c>
      <c r="C207" s="465" t="s">
        <v>37</v>
      </c>
      <c r="D207" s="507">
        <f>D199*地域経済性分析・初期条件!$K$42</f>
        <v>0</v>
      </c>
      <c r="E207" s="507">
        <f>E199*地域経済性分析・初期条件!$K$42</f>
        <v>0</v>
      </c>
      <c r="F207" s="507">
        <f>F199*地域経済性分析・初期条件!$K$42</f>
        <v>0</v>
      </c>
      <c r="G207" s="507">
        <f>G199*地域経済性分析・初期条件!$K$42</f>
        <v>0</v>
      </c>
      <c r="H207" s="507">
        <f>H199*地域経済性分析・初期条件!$K$42</f>
        <v>0</v>
      </c>
      <c r="I207" s="507">
        <f>I199*地域経済性分析・初期条件!$K$42</f>
        <v>0</v>
      </c>
      <c r="J207" s="507">
        <f>J199*地域経済性分析・初期条件!$K$42</f>
        <v>0</v>
      </c>
      <c r="K207" s="507">
        <f>K199*地域経済性分析・初期条件!$K$42</f>
        <v>0</v>
      </c>
      <c r="L207" s="507">
        <f>L199*地域経済性分析・初期条件!$K$42</f>
        <v>0</v>
      </c>
      <c r="M207" s="507">
        <f>M199*地域経済性分析・初期条件!$K$42</f>
        <v>0</v>
      </c>
      <c r="N207" s="507">
        <f>N199*地域経済性分析・初期条件!$K$42</f>
        <v>0</v>
      </c>
      <c r="O207" s="507">
        <f>O199*地域経済性分析・初期条件!$K$42</f>
        <v>0</v>
      </c>
      <c r="P207" s="507">
        <f>P199*地域経済性分析・初期条件!$K$42</f>
        <v>0</v>
      </c>
      <c r="Q207" s="507">
        <f>Q199*地域経済性分析・初期条件!$K$42</f>
        <v>0</v>
      </c>
      <c r="R207" s="507">
        <f>R199*地域経済性分析・初期条件!$K$42</f>
        <v>0</v>
      </c>
      <c r="S207" s="507">
        <f>S199*地域経済性分析・初期条件!$K$42</f>
        <v>0</v>
      </c>
      <c r="T207" s="507">
        <f>T199*地域経済性分析・初期条件!$K$42</f>
        <v>0</v>
      </c>
      <c r="U207" s="507">
        <f>U199*地域経済性分析・初期条件!$K$42</f>
        <v>0</v>
      </c>
      <c r="V207" s="507">
        <f>V199*地域経済性分析・初期条件!$K$42</f>
        <v>0</v>
      </c>
      <c r="W207" s="507">
        <f>W199*地域経済性分析・初期条件!$K$42</f>
        <v>0</v>
      </c>
      <c r="X207" s="507">
        <f>X199*地域経済性分析・初期条件!$K$42</f>
        <v>0</v>
      </c>
      <c r="Y207" s="507">
        <f>Y199*地域経済性分析・初期条件!$K$42</f>
        <v>0</v>
      </c>
      <c r="Z207" s="507">
        <f>Z199*地域経済性分析・初期条件!$K$42</f>
        <v>0</v>
      </c>
      <c r="AA207" s="507">
        <f>AA199*地域経済性分析・初期条件!$K$42</f>
        <v>0</v>
      </c>
      <c r="AB207" s="507">
        <f>AB199*地域経済性分析・初期条件!$K$42</f>
        <v>0</v>
      </c>
      <c r="AC207" s="507">
        <f>AC199*地域経済性分析・初期条件!$K$42</f>
        <v>0</v>
      </c>
      <c r="AD207" s="507">
        <f>AD199*地域経済性分析・初期条件!$K$42</f>
        <v>0</v>
      </c>
      <c r="AE207" s="507">
        <f>AE199*地域経済性分析・初期条件!$K$42</f>
        <v>0</v>
      </c>
      <c r="AF207" s="507">
        <f>AF199*地域経済性分析・初期条件!$K$42</f>
        <v>0</v>
      </c>
      <c r="AG207" s="507">
        <f>AG199*地域経済性分析・初期条件!$K$42</f>
        <v>0</v>
      </c>
      <c r="AH207" s="507">
        <f>AH199*地域経済性分析・初期条件!$K$42</f>
        <v>0</v>
      </c>
      <c r="AI207" s="548">
        <f t="shared" si="68"/>
        <v>0</v>
      </c>
      <c r="AJ207" s="548">
        <f t="shared" si="71"/>
        <v>0</v>
      </c>
      <c r="AK207" s="510">
        <f t="shared" si="72"/>
        <v>0</v>
      </c>
    </row>
    <row r="208" spans="1:37" ht="11.5" x14ac:dyDescent="0.25">
      <c r="A208" s="546" t="str">
        <f>A198&amp;B208</f>
        <v>0従業員の可処分所得（二次以降）</v>
      </c>
      <c r="B208" s="452" t="s">
        <v>344</v>
      </c>
      <c r="C208" s="465" t="s">
        <v>37</v>
      </c>
      <c r="D208" s="507">
        <f>D199*地域経済性分析・初期条件!$L$42</f>
        <v>0</v>
      </c>
      <c r="E208" s="507">
        <f>E199*地域経済性分析・初期条件!$L$42</f>
        <v>0</v>
      </c>
      <c r="F208" s="507">
        <f>F199*地域経済性分析・初期条件!$L$42</f>
        <v>0</v>
      </c>
      <c r="G208" s="507">
        <f>G199*地域経済性分析・初期条件!$L$42</f>
        <v>0</v>
      </c>
      <c r="H208" s="507">
        <f>H199*地域経済性分析・初期条件!$L$42</f>
        <v>0</v>
      </c>
      <c r="I208" s="507">
        <f>I199*地域経済性分析・初期条件!$L$42</f>
        <v>0</v>
      </c>
      <c r="J208" s="507">
        <f>J199*地域経済性分析・初期条件!$L$42</f>
        <v>0</v>
      </c>
      <c r="K208" s="507">
        <f>K199*地域経済性分析・初期条件!$L$42</f>
        <v>0</v>
      </c>
      <c r="L208" s="507">
        <f>L199*地域経済性分析・初期条件!$L$42</f>
        <v>0</v>
      </c>
      <c r="M208" s="507">
        <f>M199*地域経済性分析・初期条件!$L$42</f>
        <v>0</v>
      </c>
      <c r="N208" s="507">
        <f>N199*地域経済性分析・初期条件!$L$42</f>
        <v>0</v>
      </c>
      <c r="O208" s="507">
        <f>O199*地域経済性分析・初期条件!$L$42</f>
        <v>0</v>
      </c>
      <c r="P208" s="507">
        <f>P199*地域経済性分析・初期条件!$L$42</f>
        <v>0</v>
      </c>
      <c r="Q208" s="507">
        <f>Q199*地域経済性分析・初期条件!$L$42</f>
        <v>0</v>
      </c>
      <c r="R208" s="507">
        <f>R199*地域経済性分析・初期条件!$L$42</f>
        <v>0</v>
      </c>
      <c r="S208" s="507">
        <f>S199*地域経済性分析・初期条件!$L$42</f>
        <v>0</v>
      </c>
      <c r="T208" s="507">
        <f>T199*地域経済性分析・初期条件!$L$42</f>
        <v>0</v>
      </c>
      <c r="U208" s="507">
        <f>U199*地域経済性分析・初期条件!$L$42</f>
        <v>0</v>
      </c>
      <c r="V208" s="507">
        <f>V199*地域経済性分析・初期条件!$L$42</f>
        <v>0</v>
      </c>
      <c r="W208" s="507">
        <f>W199*地域経済性分析・初期条件!$L$42</f>
        <v>0</v>
      </c>
      <c r="X208" s="507">
        <f>X199*地域経済性分析・初期条件!$L$42</f>
        <v>0</v>
      </c>
      <c r="Y208" s="507">
        <f>Y199*地域経済性分析・初期条件!$L$42</f>
        <v>0</v>
      </c>
      <c r="Z208" s="507">
        <f>Z199*地域経済性分析・初期条件!$L$42</f>
        <v>0</v>
      </c>
      <c r="AA208" s="507">
        <f>AA199*地域経済性分析・初期条件!$L$42</f>
        <v>0</v>
      </c>
      <c r="AB208" s="507">
        <f>AB199*地域経済性分析・初期条件!$L$42</f>
        <v>0</v>
      </c>
      <c r="AC208" s="507">
        <f>AC199*地域経済性分析・初期条件!$L$42</f>
        <v>0</v>
      </c>
      <c r="AD208" s="507">
        <f>AD199*地域経済性分析・初期条件!$L$42</f>
        <v>0</v>
      </c>
      <c r="AE208" s="507">
        <f>AE199*地域経済性分析・初期条件!$L$42</f>
        <v>0</v>
      </c>
      <c r="AF208" s="507">
        <f>AF199*地域経済性分析・初期条件!$L$42</f>
        <v>0</v>
      </c>
      <c r="AG208" s="507">
        <f>AG199*地域経済性分析・初期条件!$L$42</f>
        <v>0</v>
      </c>
      <c r="AH208" s="507">
        <f>AH199*地域経済性分析・初期条件!$L$42</f>
        <v>0</v>
      </c>
      <c r="AI208" s="548">
        <f t="shared" si="68"/>
        <v>0</v>
      </c>
      <c r="AJ208" s="548">
        <f t="shared" si="71"/>
        <v>0</v>
      </c>
      <c r="AK208" s="510">
        <f t="shared" si="72"/>
        <v>0</v>
      </c>
    </row>
    <row r="209" spans="1:37" ht="11.5" x14ac:dyDescent="0.25">
      <c r="A209" s="546" t="str">
        <f>A198&amp;B209</f>
        <v>0企業の税引後利益（二次以降）</v>
      </c>
      <c r="B209" s="452" t="s">
        <v>345</v>
      </c>
      <c r="C209" s="465" t="s">
        <v>37</v>
      </c>
      <c r="D209" s="507">
        <f>D199*地域経済性分析・初期条件!$M$42</f>
        <v>0</v>
      </c>
      <c r="E209" s="507">
        <f>E199*地域経済性分析・初期条件!$M$42</f>
        <v>0</v>
      </c>
      <c r="F209" s="507">
        <f>F199*地域経済性分析・初期条件!$M$42</f>
        <v>0</v>
      </c>
      <c r="G209" s="507">
        <f>G199*地域経済性分析・初期条件!$M$42</f>
        <v>0</v>
      </c>
      <c r="H209" s="507">
        <f>H199*地域経済性分析・初期条件!$M$42</f>
        <v>0</v>
      </c>
      <c r="I209" s="507">
        <f>I199*地域経済性分析・初期条件!$M$42</f>
        <v>0</v>
      </c>
      <c r="J209" s="507">
        <f>J199*地域経済性分析・初期条件!$M$42</f>
        <v>0</v>
      </c>
      <c r="K209" s="507">
        <f>K199*地域経済性分析・初期条件!$M$42</f>
        <v>0</v>
      </c>
      <c r="L209" s="507">
        <f>L199*地域経済性分析・初期条件!$M$42</f>
        <v>0</v>
      </c>
      <c r="M209" s="507">
        <f>M199*地域経済性分析・初期条件!$M$42</f>
        <v>0</v>
      </c>
      <c r="N209" s="507">
        <f>N199*地域経済性分析・初期条件!$M$42</f>
        <v>0</v>
      </c>
      <c r="O209" s="507">
        <f>O199*地域経済性分析・初期条件!$M$42</f>
        <v>0</v>
      </c>
      <c r="P209" s="507">
        <f>P199*地域経済性分析・初期条件!$M$42</f>
        <v>0</v>
      </c>
      <c r="Q209" s="507">
        <f>Q199*地域経済性分析・初期条件!$M$42</f>
        <v>0</v>
      </c>
      <c r="R209" s="507">
        <f>R199*地域経済性分析・初期条件!$M$42</f>
        <v>0</v>
      </c>
      <c r="S209" s="507">
        <f>S199*地域経済性分析・初期条件!$M$42</f>
        <v>0</v>
      </c>
      <c r="T209" s="507">
        <f>T199*地域経済性分析・初期条件!$M$42</f>
        <v>0</v>
      </c>
      <c r="U209" s="507">
        <f>U199*地域経済性分析・初期条件!$M$42</f>
        <v>0</v>
      </c>
      <c r="V209" s="507">
        <f>V199*地域経済性分析・初期条件!$M$42</f>
        <v>0</v>
      </c>
      <c r="W209" s="507">
        <f>W199*地域経済性分析・初期条件!$M$42</f>
        <v>0</v>
      </c>
      <c r="X209" s="507">
        <f>X199*地域経済性分析・初期条件!$M$42</f>
        <v>0</v>
      </c>
      <c r="Y209" s="507">
        <f>Y199*地域経済性分析・初期条件!$M$42</f>
        <v>0</v>
      </c>
      <c r="Z209" s="507">
        <f>Z199*地域経済性分析・初期条件!$M$42</f>
        <v>0</v>
      </c>
      <c r="AA209" s="507">
        <f>AA199*地域経済性分析・初期条件!$M$42</f>
        <v>0</v>
      </c>
      <c r="AB209" s="507">
        <f>AB199*地域経済性分析・初期条件!$M$42</f>
        <v>0</v>
      </c>
      <c r="AC209" s="507">
        <f>AC199*地域経済性分析・初期条件!$M$42</f>
        <v>0</v>
      </c>
      <c r="AD209" s="507">
        <f>AD199*地域経済性分析・初期条件!$M$42</f>
        <v>0</v>
      </c>
      <c r="AE209" s="507">
        <f>AE199*地域経済性分析・初期条件!$M$42</f>
        <v>0</v>
      </c>
      <c r="AF209" s="507">
        <f>AF199*地域経済性分析・初期条件!$M$42</f>
        <v>0</v>
      </c>
      <c r="AG209" s="507">
        <f>AG199*地域経済性分析・初期条件!$M$42</f>
        <v>0</v>
      </c>
      <c r="AH209" s="507">
        <f>AH199*地域経済性分析・初期条件!$M$42</f>
        <v>0</v>
      </c>
      <c r="AI209" s="548">
        <f t="shared" si="68"/>
        <v>0</v>
      </c>
      <c r="AJ209" s="548">
        <f t="shared" si="71"/>
        <v>0</v>
      </c>
      <c r="AK209" s="510">
        <f t="shared" si="72"/>
        <v>0</v>
      </c>
    </row>
    <row r="210" spans="1:37" ht="11.5" x14ac:dyDescent="0.25">
      <c r="A210" s="546" t="str">
        <f>A198&amp;B210</f>
        <v>0都道府県税収（二次以降）</v>
      </c>
      <c r="B210" s="452" t="s">
        <v>346</v>
      </c>
      <c r="C210" s="465" t="s">
        <v>37</v>
      </c>
      <c r="D210" s="507">
        <f>D199*地域経済性分析・初期条件!$N$42</f>
        <v>0</v>
      </c>
      <c r="E210" s="507">
        <f>E199*地域経済性分析・初期条件!$N$42</f>
        <v>0</v>
      </c>
      <c r="F210" s="507">
        <f>F199*地域経済性分析・初期条件!$N$42</f>
        <v>0</v>
      </c>
      <c r="G210" s="507">
        <f>G199*地域経済性分析・初期条件!$N$42</f>
        <v>0</v>
      </c>
      <c r="H210" s="507">
        <f>H199*地域経済性分析・初期条件!$N$42</f>
        <v>0</v>
      </c>
      <c r="I210" s="507">
        <f>I199*地域経済性分析・初期条件!$N$42</f>
        <v>0</v>
      </c>
      <c r="J210" s="507">
        <f>J199*地域経済性分析・初期条件!$N$42</f>
        <v>0</v>
      </c>
      <c r="K210" s="507">
        <f>K199*地域経済性分析・初期条件!$N$42</f>
        <v>0</v>
      </c>
      <c r="L210" s="507">
        <f>L199*地域経済性分析・初期条件!$N$42</f>
        <v>0</v>
      </c>
      <c r="M210" s="507">
        <f>M199*地域経済性分析・初期条件!$N$42</f>
        <v>0</v>
      </c>
      <c r="N210" s="507">
        <f>N199*地域経済性分析・初期条件!$N$42</f>
        <v>0</v>
      </c>
      <c r="O210" s="507">
        <f>O199*地域経済性分析・初期条件!$N$42</f>
        <v>0</v>
      </c>
      <c r="P210" s="507">
        <f>P199*地域経済性分析・初期条件!$N$42</f>
        <v>0</v>
      </c>
      <c r="Q210" s="507">
        <f>Q199*地域経済性分析・初期条件!$N$42</f>
        <v>0</v>
      </c>
      <c r="R210" s="507">
        <f>R199*地域経済性分析・初期条件!$N$42</f>
        <v>0</v>
      </c>
      <c r="S210" s="507">
        <f>S199*地域経済性分析・初期条件!$N$42</f>
        <v>0</v>
      </c>
      <c r="T210" s="507">
        <f>T199*地域経済性分析・初期条件!$N$42</f>
        <v>0</v>
      </c>
      <c r="U210" s="507">
        <f>U199*地域経済性分析・初期条件!$N$42</f>
        <v>0</v>
      </c>
      <c r="V210" s="507">
        <f>V199*地域経済性分析・初期条件!$N$42</f>
        <v>0</v>
      </c>
      <c r="W210" s="507">
        <f>W199*地域経済性分析・初期条件!$N$42</f>
        <v>0</v>
      </c>
      <c r="X210" s="507">
        <f>X199*地域経済性分析・初期条件!$N$42</f>
        <v>0</v>
      </c>
      <c r="Y210" s="507">
        <f>Y199*地域経済性分析・初期条件!$N$42</f>
        <v>0</v>
      </c>
      <c r="Z210" s="507">
        <f>Z199*地域経済性分析・初期条件!$N$42</f>
        <v>0</v>
      </c>
      <c r="AA210" s="507">
        <f>AA199*地域経済性分析・初期条件!$N$42</f>
        <v>0</v>
      </c>
      <c r="AB210" s="507">
        <f>AB199*地域経済性分析・初期条件!$N$42</f>
        <v>0</v>
      </c>
      <c r="AC210" s="507">
        <f>AC199*地域経済性分析・初期条件!$N$42</f>
        <v>0</v>
      </c>
      <c r="AD210" s="507">
        <f>AD199*地域経済性分析・初期条件!$N$42</f>
        <v>0</v>
      </c>
      <c r="AE210" s="507">
        <f>AE199*地域経済性分析・初期条件!$N$42</f>
        <v>0</v>
      </c>
      <c r="AF210" s="507">
        <f>AF199*地域経済性分析・初期条件!$N$42</f>
        <v>0</v>
      </c>
      <c r="AG210" s="507">
        <f>AG199*地域経済性分析・初期条件!$N$42</f>
        <v>0</v>
      </c>
      <c r="AH210" s="507">
        <f>AH199*地域経済性分析・初期条件!$N$42</f>
        <v>0</v>
      </c>
      <c r="AI210" s="548">
        <f t="shared" si="68"/>
        <v>0</v>
      </c>
      <c r="AJ210" s="548">
        <f t="shared" si="71"/>
        <v>0</v>
      </c>
      <c r="AK210" s="510">
        <f t="shared" si="72"/>
        <v>0</v>
      </c>
    </row>
    <row r="211" spans="1:37" ht="11.5" x14ac:dyDescent="0.25">
      <c r="A211" s="546" t="str">
        <f>A198&amp;B211</f>
        <v>0市町村税収（二次以降）</v>
      </c>
      <c r="B211" s="452" t="s">
        <v>347</v>
      </c>
      <c r="C211" s="465" t="s">
        <v>37</v>
      </c>
      <c r="D211" s="507">
        <f>D199*地域経済性分析・初期条件!$O$42</f>
        <v>0</v>
      </c>
      <c r="E211" s="507">
        <f>E199*地域経済性分析・初期条件!$O$42</f>
        <v>0</v>
      </c>
      <c r="F211" s="507">
        <f>F199*地域経済性分析・初期条件!$O$42</f>
        <v>0</v>
      </c>
      <c r="G211" s="507">
        <f>G199*地域経済性分析・初期条件!$O$42</f>
        <v>0</v>
      </c>
      <c r="H211" s="507">
        <f>H199*地域経済性分析・初期条件!$O$42</f>
        <v>0</v>
      </c>
      <c r="I211" s="507">
        <f>I199*地域経済性分析・初期条件!$O$42</f>
        <v>0</v>
      </c>
      <c r="J211" s="507">
        <f>J199*地域経済性分析・初期条件!$O$42</f>
        <v>0</v>
      </c>
      <c r="K211" s="507">
        <f>K199*地域経済性分析・初期条件!$O$42</f>
        <v>0</v>
      </c>
      <c r="L211" s="507">
        <f>L199*地域経済性分析・初期条件!$O$42</f>
        <v>0</v>
      </c>
      <c r="M211" s="507">
        <f>M199*地域経済性分析・初期条件!$O$42</f>
        <v>0</v>
      </c>
      <c r="N211" s="507">
        <f>N199*地域経済性分析・初期条件!$O$42</f>
        <v>0</v>
      </c>
      <c r="O211" s="507">
        <f>O199*地域経済性分析・初期条件!$O$42</f>
        <v>0</v>
      </c>
      <c r="P211" s="507">
        <f>P199*地域経済性分析・初期条件!$O$42</f>
        <v>0</v>
      </c>
      <c r="Q211" s="507">
        <f>Q199*地域経済性分析・初期条件!$O$42</f>
        <v>0</v>
      </c>
      <c r="R211" s="507">
        <f>R199*地域経済性分析・初期条件!$O$42</f>
        <v>0</v>
      </c>
      <c r="S211" s="507">
        <f>S199*地域経済性分析・初期条件!$O$42</f>
        <v>0</v>
      </c>
      <c r="T211" s="507">
        <f>T199*地域経済性分析・初期条件!$O$42</f>
        <v>0</v>
      </c>
      <c r="U211" s="507">
        <f>U199*地域経済性分析・初期条件!$O$42</f>
        <v>0</v>
      </c>
      <c r="V211" s="507">
        <f>V199*地域経済性分析・初期条件!$O$42</f>
        <v>0</v>
      </c>
      <c r="W211" s="507">
        <f>W199*地域経済性分析・初期条件!$O$42</f>
        <v>0</v>
      </c>
      <c r="X211" s="507">
        <f>X199*地域経済性分析・初期条件!$O$42</f>
        <v>0</v>
      </c>
      <c r="Y211" s="507">
        <f>Y199*地域経済性分析・初期条件!$O$42</f>
        <v>0</v>
      </c>
      <c r="Z211" s="507">
        <f>Z199*地域経済性分析・初期条件!$O$42</f>
        <v>0</v>
      </c>
      <c r="AA211" s="507">
        <f>AA199*地域経済性分析・初期条件!$O$42</f>
        <v>0</v>
      </c>
      <c r="AB211" s="507">
        <f>AB199*地域経済性分析・初期条件!$O$42</f>
        <v>0</v>
      </c>
      <c r="AC211" s="507">
        <f>AC199*地域経済性分析・初期条件!$O$42</f>
        <v>0</v>
      </c>
      <c r="AD211" s="507">
        <f>AD199*地域経済性分析・初期条件!$O$42</f>
        <v>0</v>
      </c>
      <c r="AE211" s="507">
        <f>AE199*地域経済性分析・初期条件!$O$42</f>
        <v>0</v>
      </c>
      <c r="AF211" s="507">
        <f>AF199*地域経済性分析・初期条件!$O$42</f>
        <v>0</v>
      </c>
      <c r="AG211" s="507">
        <f>AG199*地域経済性分析・初期条件!$O$42</f>
        <v>0</v>
      </c>
      <c r="AH211" s="507">
        <f>AH199*地域経済性分析・初期条件!$O$42</f>
        <v>0</v>
      </c>
      <c r="AI211" s="548">
        <f t="shared" si="68"/>
        <v>0</v>
      </c>
      <c r="AJ211" s="548">
        <f t="shared" si="71"/>
        <v>0</v>
      </c>
      <c r="AK211" s="510">
        <f t="shared" si="72"/>
        <v>0</v>
      </c>
    </row>
    <row r="212" spans="1:37" ht="11.5" x14ac:dyDescent="0.25">
      <c r="A212" s="502">
        <f>地域経済性分析・初期条件!$G$43</f>
        <v>0</v>
      </c>
      <c r="C212" s="465"/>
      <c r="D212" s="507"/>
      <c r="E212" s="507"/>
      <c r="F212" s="478"/>
      <c r="G212" s="478"/>
      <c r="H212" s="478"/>
      <c r="I212" s="478"/>
      <c r="J212" s="478"/>
      <c r="K212" s="478"/>
      <c r="L212" s="478"/>
      <c r="M212" s="478"/>
      <c r="N212" s="478"/>
      <c r="O212" s="478"/>
      <c r="P212" s="478"/>
      <c r="Q212" s="478"/>
      <c r="R212" s="478"/>
      <c r="S212" s="478"/>
      <c r="T212" s="478"/>
      <c r="U212" s="478"/>
      <c r="V212" s="478"/>
      <c r="W212" s="478"/>
      <c r="X212" s="478"/>
      <c r="Y212" s="478"/>
      <c r="Z212" s="478"/>
      <c r="AA212" s="478"/>
      <c r="AB212" s="478"/>
      <c r="AC212" s="478"/>
      <c r="AD212" s="478"/>
      <c r="AE212" s="478"/>
      <c r="AF212" s="478"/>
      <c r="AG212" s="478"/>
      <c r="AH212" s="478"/>
      <c r="AI212" s="548"/>
      <c r="AJ212" s="548"/>
      <c r="AK212" s="510"/>
    </row>
    <row r="213" spans="1:37" ht="11.5" x14ac:dyDescent="0.25">
      <c r="A213" s="546" t="str">
        <f>A212&amp;B213</f>
        <v>0売上（税別）</v>
      </c>
      <c r="B213" s="452" t="s">
        <v>1047</v>
      </c>
      <c r="C213" s="464" t="s">
        <v>37</v>
      </c>
      <c r="D213" s="507">
        <f>D183*地域経済性分析・初期条件!$F$43</f>
        <v>0</v>
      </c>
      <c r="E213" s="507">
        <f>E183*地域経済性分析・初期条件!$F$43</f>
        <v>0</v>
      </c>
      <c r="F213" s="507">
        <f>F183*地域経済性分析・初期条件!$F$43</f>
        <v>0</v>
      </c>
      <c r="G213" s="507">
        <f>G183*地域経済性分析・初期条件!$F$43</f>
        <v>0</v>
      </c>
      <c r="H213" s="507">
        <f>H183*地域経済性分析・初期条件!$F$43</f>
        <v>0</v>
      </c>
      <c r="I213" s="507">
        <f>I183*地域経済性分析・初期条件!$F$43</f>
        <v>0</v>
      </c>
      <c r="J213" s="507">
        <f>J183*地域経済性分析・初期条件!$F$43</f>
        <v>0</v>
      </c>
      <c r="K213" s="507">
        <f>K183*地域経済性分析・初期条件!$F$43</f>
        <v>0</v>
      </c>
      <c r="L213" s="507">
        <f>L183*地域経済性分析・初期条件!$F$43</f>
        <v>0</v>
      </c>
      <c r="M213" s="507">
        <f>M183*地域経済性分析・初期条件!$F$43</f>
        <v>0</v>
      </c>
      <c r="N213" s="507">
        <f>N183*地域経済性分析・初期条件!$F$43</f>
        <v>0</v>
      </c>
      <c r="O213" s="507">
        <f>O183*地域経済性分析・初期条件!$F$43</f>
        <v>0</v>
      </c>
      <c r="P213" s="507">
        <f>P183*地域経済性分析・初期条件!$F$43</f>
        <v>0</v>
      </c>
      <c r="Q213" s="507">
        <f>Q183*地域経済性分析・初期条件!$F$43</f>
        <v>0</v>
      </c>
      <c r="R213" s="507">
        <f>R183*地域経済性分析・初期条件!$F$43</f>
        <v>0</v>
      </c>
      <c r="S213" s="507">
        <f>S183*地域経済性分析・初期条件!$F$43</f>
        <v>0</v>
      </c>
      <c r="T213" s="507">
        <f>T183*地域経済性分析・初期条件!$F$43</f>
        <v>0</v>
      </c>
      <c r="U213" s="507">
        <f>U183*地域経済性分析・初期条件!$F$43</f>
        <v>0</v>
      </c>
      <c r="V213" s="507">
        <f>V183*地域経済性分析・初期条件!$F$43</f>
        <v>0</v>
      </c>
      <c r="W213" s="507">
        <f>W183*地域経済性分析・初期条件!$F$43</f>
        <v>0</v>
      </c>
      <c r="X213" s="507">
        <f>X183*地域経済性分析・初期条件!$F$43</f>
        <v>0</v>
      </c>
      <c r="Y213" s="507">
        <f>Y183*地域経済性分析・初期条件!$F$43</f>
        <v>0</v>
      </c>
      <c r="Z213" s="507">
        <f>Z183*地域経済性分析・初期条件!$F$43</f>
        <v>0</v>
      </c>
      <c r="AA213" s="507">
        <f>AA183*地域経済性分析・初期条件!$F$43</f>
        <v>0</v>
      </c>
      <c r="AB213" s="507">
        <f>AB183*地域経済性分析・初期条件!$F$43</f>
        <v>0</v>
      </c>
      <c r="AC213" s="507">
        <f>AC183*地域経済性分析・初期条件!$F$43</f>
        <v>0</v>
      </c>
      <c r="AD213" s="507">
        <f>AD183*地域経済性分析・初期条件!$F$43</f>
        <v>0</v>
      </c>
      <c r="AE213" s="507">
        <f>AE183*地域経済性分析・初期条件!$F$43</f>
        <v>0</v>
      </c>
      <c r="AF213" s="507">
        <f>AF183*地域経済性分析・初期条件!$F$43</f>
        <v>0</v>
      </c>
      <c r="AG213" s="507">
        <f>AG183*地域経済性分析・初期条件!$F$43</f>
        <v>0</v>
      </c>
      <c r="AH213" s="507">
        <f>AH183*地域経済性分析・初期条件!$F$43</f>
        <v>0</v>
      </c>
      <c r="AI213" s="548">
        <f t="shared" ref="AI213:AI225" si="73">SUM(D213:N213)</f>
        <v>0</v>
      </c>
      <c r="AJ213" s="548">
        <f t="shared" ref="AJ213:AJ218" si="74">SUM(D213:X213)</f>
        <v>0</v>
      </c>
      <c r="AK213" s="510">
        <f t="shared" ref="AK213:AK218" si="75">SUM(D213:AH213)</f>
        <v>0</v>
      </c>
    </row>
    <row r="214" spans="1:37" ht="11.5" x14ac:dyDescent="0.25">
      <c r="A214" s="546" t="str">
        <f>A212&amp;B214</f>
        <v>0消費税（都道府県）</v>
      </c>
      <c r="B214" s="452" t="s">
        <v>263</v>
      </c>
      <c r="C214" s="464" t="s">
        <v>37</v>
      </c>
      <c r="D214" s="507">
        <f>IF(D213&lt;0,0,D213*波及効果シート!$D$72)</f>
        <v>0</v>
      </c>
      <c r="E214" s="507">
        <f>IF(E213&lt;0,0,E213*波及効果シート!$D$72)</f>
        <v>0</v>
      </c>
      <c r="F214" s="507">
        <f>IF(F213&lt;0,0,F213*波及効果シート!$D$72)</f>
        <v>0</v>
      </c>
      <c r="G214" s="507">
        <f>IF(G213&lt;0,0,G213*波及効果シート!$D$72)</f>
        <v>0</v>
      </c>
      <c r="H214" s="507">
        <f>IF(H213&lt;0,0,H213*波及効果シート!$D$72)</f>
        <v>0</v>
      </c>
      <c r="I214" s="507">
        <f>IF(I213&lt;0,0,I213*波及効果シート!$D$72)</f>
        <v>0</v>
      </c>
      <c r="J214" s="507">
        <f>IF(J213&lt;0,0,J213*波及効果シート!$D$72)</f>
        <v>0</v>
      </c>
      <c r="K214" s="507">
        <f>IF(K213&lt;0,0,K213*波及効果シート!$D$72)</f>
        <v>0</v>
      </c>
      <c r="L214" s="507">
        <f>IF(L213&lt;0,0,L213*波及効果シート!$D$72)</f>
        <v>0</v>
      </c>
      <c r="M214" s="507">
        <f>IF(M213&lt;0,0,M213*波及効果シート!$D$72)</f>
        <v>0</v>
      </c>
      <c r="N214" s="507">
        <f>IF(N213&lt;0,0,N213*波及効果シート!$D$72)</f>
        <v>0</v>
      </c>
      <c r="O214" s="507">
        <f>IF(O213&lt;0,0,O213*波及効果シート!$D$72)</f>
        <v>0</v>
      </c>
      <c r="P214" s="507">
        <f>IF(P213&lt;0,0,P213*波及効果シート!$D$72)</f>
        <v>0</v>
      </c>
      <c r="Q214" s="507">
        <f>IF(Q213&lt;0,0,Q213*波及効果シート!$D$72)</f>
        <v>0</v>
      </c>
      <c r="R214" s="507">
        <f>IF(R213&lt;0,0,R213*波及効果シート!$D$72)</f>
        <v>0</v>
      </c>
      <c r="S214" s="507">
        <f>IF(S213&lt;0,0,S213*波及効果シート!$D$72)</f>
        <v>0</v>
      </c>
      <c r="T214" s="507">
        <f>IF(T213&lt;0,0,T213*波及効果シート!$D$72)</f>
        <v>0</v>
      </c>
      <c r="U214" s="507">
        <f>IF(U213&lt;0,0,U213*波及効果シート!$D$72)</f>
        <v>0</v>
      </c>
      <c r="V214" s="507">
        <f>IF(V213&lt;0,0,V213*波及効果シート!$D$72)</f>
        <v>0</v>
      </c>
      <c r="W214" s="507">
        <f>IF(W213&lt;0,0,W213*波及効果シート!$D$72)</f>
        <v>0</v>
      </c>
      <c r="X214" s="507">
        <f>IF(X213&lt;0,0,X213*波及効果シート!$D$72)</f>
        <v>0</v>
      </c>
      <c r="Y214" s="507">
        <f>IF(Y213&lt;0,0,Y213*波及効果シート!$D$72)</f>
        <v>0</v>
      </c>
      <c r="Z214" s="507">
        <f>IF(Z213&lt;0,0,Z213*波及効果シート!$D$72)</f>
        <v>0</v>
      </c>
      <c r="AA214" s="507">
        <f>IF(AA213&lt;0,0,AA213*波及効果シート!$D$72)</f>
        <v>0</v>
      </c>
      <c r="AB214" s="507">
        <f>IF(AB213&lt;0,0,AB213*波及効果シート!$D$72)</f>
        <v>0</v>
      </c>
      <c r="AC214" s="507">
        <f>IF(AC213&lt;0,0,AC213*波及効果シート!$D$72)</f>
        <v>0</v>
      </c>
      <c r="AD214" s="507">
        <f>IF(AD213&lt;0,0,AD213*波及効果シート!$D$72)</f>
        <v>0</v>
      </c>
      <c r="AE214" s="507">
        <f>IF(AE213&lt;0,0,AE213*波及効果シート!$D$72)</f>
        <v>0</v>
      </c>
      <c r="AF214" s="507">
        <f>IF(AF213&lt;0,0,AF213*波及効果シート!$D$72)</f>
        <v>0</v>
      </c>
      <c r="AG214" s="507">
        <f>IF(AG213&lt;0,0,AG213*波及効果シート!$D$72)</f>
        <v>0</v>
      </c>
      <c r="AH214" s="507">
        <f>IF(AH213&lt;0,0,AH213*波及効果シート!$D$72)</f>
        <v>0</v>
      </c>
      <c r="AI214" s="548">
        <f t="shared" si="73"/>
        <v>0</v>
      </c>
      <c r="AJ214" s="548">
        <f t="shared" si="74"/>
        <v>0</v>
      </c>
      <c r="AK214" s="510">
        <f t="shared" si="75"/>
        <v>0</v>
      </c>
    </row>
    <row r="215" spans="1:37" ht="11.5" x14ac:dyDescent="0.25">
      <c r="A215" s="546" t="str">
        <f>A212&amp;B215</f>
        <v>0消費税（市町村）</v>
      </c>
      <c r="B215" s="452" t="s">
        <v>1048</v>
      </c>
      <c r="C215" s="465" t="s">
        <v>37</v>
      </c>
      <c r="D215" s="507">
        <f>IF(D213&lt;0,0,D213*波及効果シート!$D$74)</f>
        <v>0</v>
      </c>
      <c r="E215" s="507">
        <f>IF(E213&lt;0,0,E213*波及効果シート!$D$74)</f>
        <v>0</v>
      </c>
      <c r="F215" s="507">
        <f>IF(F213&lt;0,0,F213*波及効果シート!$D$74)</f>
        <v>0</v>
      </c>
      <c r="G215" s="507">
        <f>IF(G213&lt;0,0,G213*波及効果シート!$D$74)</f>
        <v>0</v>
      </c>
      <c r="H215" s="507">
        <f>IF(H213&lt;0,0,H213*波及効果シート!$D$74)</f>
        <v>0</v>
      </c>
      <c r="I215" s="507">
        <f>IF(I213&lt;0,0,I213*波及効果シート!$D$74)</f>
        <v>0</v>
      </c>
      <c r="J215" s="507">
        <f>IF(J213&lt;0,0,J213*波及効果シート!$D$74)</f>
        <v>0</v>
      </c>
      <c r="K215" s="507">
        <f>IF(K213&lt;0,0,K213*波及効果シート!$D$74)</f>
        <v>0</v>
      </c>
      <c r="L215" s="507">
        <f>IF(L213&lt;0,0,L213*波及効果シート!$D$74)</f>
        <v>0</v>
      </c>
      <c r="M215" s="507">
        <f>IF(M213&lt;0,0,M213*波及効果シート!$D$74)</f>
        <v>0</v>
      </c>
      <c r="N215" s="507">
        <f>IF(N213&lt;0,0,N213*波及効果シート!$D$74)</f>
        <v>0</v>
      </c>
      <c r="O215" s="507">
        <f>IF(O213&lt;0,0,O213*波及効果シート!$D$74)</f>
        <v>0</v>
      </c>
      <c r="P215" s="507">
        <f>IF(P213&lt;0,0,P213*波及効果シート!$D$74)</f>
        <v>0</v>
      </c>
      <c r="Q215" s="507">
        <f>IF(Q213&lt;0,0,Q213*波及効果シート!$D$74)</f>
        <v>0</v>
      </c>
      <c r="R215" s="507">
        <f>IF(R213&lt;0,0,R213*波及効果シート!$D$74)</f>
        <v>0</v>
      </c>
      <c r="S215" s="507">
        <f>IF(S213&lt;0,0,S213*波及効果シート!$D$74)</f>
        <v>0</v>
      </c>
      <c r="T215" s="507">
        <f>IF(T213&lt;0,0,T213*波及効果シート!$D$74)</f>
        <v>0</v>
      </c>
      <c r="U215" s="507">
        <f>IF(U213&lt;0,0,U213*波及効果シート!$D$74)</f>
        <v>0</v>
      </c>
      <c r="V215" s="507">
        <f>IF(V213&lt;0,0,V213*波及効果シート!$D$74)</f>
        <v>0</v>
      </c>
      <c r="W215" s="507">
        <f>IF(W213&lt;0,0,W213*波及効果シート!$D$74)</f>
        <v>0</v>
      </c>
      <c r="X215" s="507">
        <f>IF(X213&lt;0,0,X213*波及効果シート!$D$74)</f>
        <v>0</v>
      </c>
      <c r="Y215" s="507">
        <f>IF(Y213&lt;0,0,Y213*波及効果シート!$D$74)</f>
        <v>0</v>
      </c>
      <c r="Z215" s="507">
        <f>IF(Z213&lt;0,0,Z213*波及効果シート!$D$74)</f>
        <v>0</v>
      </c>
      <c r="AA215" s="507">
        <f>IF(AA213&lt;0,0,AA213*波及効果シート!$D$74)</f>
        <v>0</v>
      </c>
      <c r="AB215" s="507">
        <f>IF(AB213&lt;0,0,AB213*波及効果シート!$D$74)</f>
        <v>0</v>
      </c>
      <c r="AC215" s="507">
        <f>IF(AC213&lt;0,0,AC213*波及効果シート!$D$74)</f>
        <v>0</v>
      </c>
      <c r="AD215" s="507">
        <f>IF(AD213&lt;0,0,AD213*波及効果シート!$D$74)</f>
        <v>0</v>
      </c>
      <c r="AE215" s="507">
        <f>IF(AE213&lt;0,0,AE213*波及効果シート!$D$74)</f>
        <v>0</v>
      </c>
      <c r="AF215" s="507">
        <f>IF(AF213&lt;0,0,AF213*波及効果シート!$D$74)</f>
        <v>0</v>
      </c>
      <c r="AG215" s="507">
        <f>IF(AG213&lt;0,0,AG213*波及効果シート!$D$74)</f>
        <v>0</v>
      </c>
      <c r="AH215" s="507">
        <f>IF(AH213&lt;0,0,AH213*波及効果シート!$D$74)</f>
        <v>0</v>
      </c>
      <c r="AI215" s="548">
        <f t="shared" si="73"/>
        <v>0</v>
      </c>
      <c r="AJ215" s="548">
        <f t="shared" si="74"/>
        <v>0</v>
      </c>
      <c r="AK215" s="510">
        <f t="shared" si="75"/>
        <v>0</v>
      </c>
    </row>
    <row r="216" spans="1:37" ht="11.5" x14ac:dyDescent="0.25">
      <c r="A216" s="546" t="str">
        <f>A212&amp;B216</f>
        <v>0所得税（国税）</v>
      </c>
      <c r="B216" s="452" t="s">
        <v>356</v>
      </c>
      <c r="C216" s="465" t="s">
        <v>37</v>
      </c>
      <c r="D216" s="507">
        <f>D213*地域経済性分析・初期条件!$P$43</f>
        <v>0</v>
      </c>
      <c r="E216" s="507">
        <f>E213*地域経済性分析・初期条件!$P$43</f>
        <v>0</v>
      </c>
      <c r="F216" s="507">
        <f>F213*地域経済性分析・初期条件!$P$43</f>
        <v>0</v>
      </c>
      <c r="G216" s="507">
        <f>G213*地域経済性分析・初期条件!$P$43</f>
        <v>0</v>
      </c>
      <c r="H216" s="507">
        <f>H213*地域経済性分析・初期条件!$P$43</f>
        <v>0</v>
      </c>
      <c r="I216" s="507">
        <f>I213*地域経済性分析・初期条件!$P$43</f>
        <v>0</v>
      </c>
      <c r="J216" s="507">
        <f>J213*地域経済性分析・初期条件!$P$43</f>
        <v>0</v>
      </c>
      <c r="K216" s="507">
        <f>K213*地域経済性分析・初期条件!$P$43</f>
        <v>0</v>
      </c>
      <c r="L216" s="507">
        <f>L213*地域経済性分析・初期条件!$P$43</f>
        <v>0</v>
      </c>
      <c r="M216" s="507">
        <f>M213*地域経済性分析・初期条件!$P$43</f>
        <v>0</v>
      </c>
      <c r="N216" s="507">
        <f>N213*地域経済性分析・初期条件!$P$43</f>
        <v>0</v>
      </c>
      <c r="O216" s="507">
        <f>O213*地域経済性分析・初期条件!$P$43</f>
        <v>0</v>
      </c>
      <c r="P216" s="507">
        <f>P213*地域経済性分析・初期条件!$P$43</f>
        <v>0</v>
      </c>
      <c r="Q216" s="507">
        <f>Q213*地域経済性分析・初期条件!$P$43</f>
        <v>0</v>
      </c>
      <c r="R216" s="507">
        <f>R213*地域経済性分析・初期条件!$P$43</f>
        <v>0</v>
      </c>
      <c r="S216" s="507">
        <f>S213*地域経済性分析・初期条件!$P$43</f>
        <v>0</v>
      </c>
      <c r="T216" s="507">
        <f>T213*地域経済性分析・初期条件!$P$43</f>
        <v>0</v>
      </c>
      <c r="U216" s="507">
        <f>U213*地域経済性分析・初期条件!$P$43</f>
        <v>0</v>
      </c>
      <c r="V216" s="507">
        <f>V213*地域経済性分析・初期条件!$P$43</f>
        <v>0</v>
      </c>
      <c r="W216" s="507">
        <f>W213*地域経済性分析・初期条件!$P$43</f>
        <v>0</v>
      </c>
      <c r="X216" s="507">
        <f>X213*地域経済性分析・初期条件!$P$43</f>
        <v>0</v>
      </c>
      <c r="Y216" s="507">
        <f>Y213*地域経済性分析・初期条件!$P$43</f>
        <v>0</v>
      </c>
      <c r="Z216" s="507">
        <f>Z213*地域経済性分析・初期条件!$P$43</f>
        <v>0</v>
      </c>
      <c r="AA216" s="507">
        <f>AA213*地域経済性分析・初期条件!$P$43</f>
        <v>0</v>
      </c>
      <c r="AB216" s="507">
        <f>AB213*地域経済性分析・初期条件!$P$43</f>
        <v>0</v>
      </c>
      <c r="AC216" s="507">
        <f>AC213*地域経済性分析・初期条件!$P$43</f>
        <v>0</v>
      </c>
      <c r="AD216" s="507">
        <f>AD213*地域経済性分析・初期条件!$P$43</f>
        <v>0</v>
      </c>
      <c r="AE216" s="507">
        <f>AE213*地域経済性分析・初期条件!$P$43</f>
        <v>0</v>
      </c>
      <c r="AF216" s="507">
        <f>AF213*地域経済性分析・初期条件!$P$43</f>
        <v>0</v>
      </c>
      <c r="AG216" s="507">
        <f>AG213*地域経済性分析・初期条件!$P$43</f>
        <v>0</v>
      </c>
      <c r="AH216" s="507">
        <f>AH213*地域経済性分析・初期条件!$P$43</f>
        <v>0</v>
      </c>
      <c r="AI216" s="548">
        <f t="shared" si="73"/>
        <v>0</v>
      </c>
      <c r="AJ216" s="548">
        <f t="shared" si="74"/>
        <v>0</v>
      </c>
      <c r="AK216" s="510">
        <f t="shared" si="75"/>
        <v>0</v>
      </c>
    </row>
    <row r="217" spans="1:37" ht="11.5" x14ac:dyDescent="0.25">
      <c r="A217" s="546" t="str">
        <f>A212&amp;B217</f>
        <v>0法人税（国税）</v>
      </c>
      <c r="B217" s="452" t="s">
        <v>355</v>
      </c>
      <c r="C217" s="465" t="s">
        <v>37</v>
      </c>
      <c r="D217" s="507">
        <f>D213*地域経済性分析・初期条件!$Q$43</f>
        <v>0</v>
      </c>
      <c r="E217" s="507">
        <f>E213*地域経済性分析・初期条件!$Q$43</f>
        <v>0</v>
      </c>
      <c r="F217" s="507">
        <f>F213*地域経済性分析・初期条件!$Q$43</f>
        <v>0</v>
      </c>
      <c r="G217" s="507">
        <f>G213*地域経済性分析・初期条件!$Q$43</f>
        <v>0</v>
      </c>
      <c r="H217" s="507">
        <f>H213*地域経済性分析・初期条件!$Q$43</f>
        <v>0</v>
      </c>
      <c r="I217" s="507">
        <f>I213*地域経済性分析・初期条件!$Q$43</f>
        <v>0</v>
      </c>
      <c r="J217" s="507">
        <f>J213*地域経済性分析・初期条件!$Q$43</f>
        <v>0</v>
      </c>
      <c r="K217" s="507">
        <f>K213*地域経済性分析・初期条件!$Q$43</f>
        <v>0</v>
      </c>
      <c r="L217" s="507">
        <f>L213*地域経済性分析・初期条件!$Q$43</f>
        <v>0</v>
      </c>
      <c r="M217" s="507">
        <f>M213*地域経済性分析・初期条件!$Q$43</f>
        <v>0</v>
      </c>
      <c r="N217" s="507">
        <f>N213*地域経済性分析・初期条件!$Q$43</f>
        <v>0</v>
      </c>
      <c r="O217" s="507">
        <f>O213*地域経済性分析・初期条件!$Q$43</f>
        <v>0</v>
      </c>
      <c r="P217" s="507">
        <f>P213*地域経済性分析・初期条件!$Q$43</f>
        <v>0</v>
      </c>
      <c r="Q217" s="507">
        <f>Q213*地域経済性分析・初期条件!$Q$43</f>
        <v>0</v>
      </c>
      <c r="R217" s="507">
        <f>R213*地域経済性分析・初期条件!$Q$43</f>
        <v>0</v>
      </c>
      <c r="S217" s="507">
        <f>S213*地域経済性分析・初期条件!$Q$43</f>
        <v>0</v>
      </c>
      <c r="T217" s="507">
        <f>T213*地域経済性分析・初期条件!$Q$43</f>
        <v>0</v>
      </c>
      <c r="U217" s="507">
        <f>U213*地域経済性分析・初期条件!$Q$43</f>
        <v>0</v>
      </c>
      <c r="V217" s="507">
        <f>V213*地域経済性分析・初期条件!$Q$43</f>
        <v>0</v>
      </c>
      <c r="W217" s="507">
        <f>W213*地域経済性分析・初期条件!$Q$43</f>
        <v>0</v>
      </c>
      <c r="X217" s="507">
        <f>X213*地域経済性分析・初期条件!$Q$43</f>
        <v>0</v>
      </c>
      <c r="Y217" s="507">
        <f>Y213*地域経済性分析・初期条件!$Q$43</f>
        <v>0</v>
      </c>
      <c r="Z217" s="507">
        <f>Z213*地域経済性分析・初期条件!$Q$43</f>
        <v>0</v>
      </c>
      <c r="AA217" s="507">
        <f>AA213*地域経済性分析・初期条件!$Q$43</f>
        <v>0</v>
      </c>
      <c r="AB217" s="507">
        <f>AB213*地域経済性分析・初期条件!$Q$43</f>
        <v>0</v>
      </c>
      <c r="AC217" s="507">
        <f>AC213*地域経済性分析・初期条件!$Q$43</f>
        <v>0</v>
      </c>
      <c r="AD217" s="507">
        <f>AD213*地域経済性分析・初期条件!$Q$43</f>
        <v>0</v>
      </c>
      <c r="AE217" s="507">
        <f>AE213*地域経済性分析・初期条件!$Q$43</f>
        <v>0</v>
      </c>
      <c r="AF217" s="507">
        <f>AF213*地域経済性分析・初期条件!$Q$43</f>
        <v>0</v>
      </c>
      <c r="AG217" s="507">
        <f>AG213*地域経済性分析・初期条件!$Q$43</f>
        <v>0</v>
      </c>
      <c r="AH217" s="507">
        <f>AH213*地域経済性分析・初期条件!$Q$43</f>
        <v>0</v>
      </c>
      <c r="AI217" s="548">
        <f t="shared" si="73"/>
        <v>0</v>
      </c>
      <c r="AJ217" s="548">
        <f t="shared" si="74"/>
        <v>0</v>
      </c>
      <c r="AK217" s="510">
        <f t="shared" si="75"/>
        <v>0</v>
      </c>
    </row>
    <row r="218" spans="1:37" ht="11.5" x14ac:dyDescent="0.25">
      <c r="A218" s="546" t="str">
        <f>A212&amp;B218</f>
        <v>0従業員の可処分所得（一次）</v>
      </c>
      <c r="B218" s="452" t="s">
        <v>339</v>
      </c>
      <c r="C218" s="464" t="s">
        <v>37</v>
      </c>
      <c r="D218" s="507">
        <f>D213*地域経済性分析・初期条件!$H$43</f>
        <v>0</v>
      </c>
      <c r="E218" s="507">
        <f>E213*地域経済性分析・初期条件!$H$43</f>
        <v>0</v>
      </c>
      <c r="F218" s="507">
        <f>F213*地域経済性分析・初期条件!$H$43</f>
        <v>0</v>
      </c>
      <c r="G218" s="478">
        <f>G213*地域経済性分析・初期条件!$H$43</f>
        <v>0</v>
      </c>
      <c r="H218" s="478">
        <f>H213*地域経済性分析・初期条件!$H$43</f>
        <v>0</v>
      </c>
      <c r="I218" s="478">
        <f>I213*地域経済性分析・初期条件!$H$43</f>
        <v>0</v>
      </c>
      <c r="J218" s="478">
        <f>J213*地域経済性分析・初期条件!$H$43</f>
        <v>0</v>
      </c>
      <c r="K218" s="478">
        <f>K213*地域経済性分析・初期条件!$H$43</f>
        <v>0</v>
      </c>
      <c r="L218" s="478">
        <f>L213*地域経済性分析・初期条件!$H$43</f>
        <v>0</v>
      </c>
      <c r="M218" s="478">
        <f>M213*地域経済性分析・初期条件!$H$43</f>
        <v>0</v>
      </c>
      <c r="N218" s="478">
        <f>N213*地域経済性分析・初期条件!$H$43</f>
        <v>0</v>
      </c>
      <c r="O218" s="478">
        <f>O213*地域経済性分析・初期条件!$H$43</f>
        <v>0</v>
      </c>
      <c r="P218" s="478">
        <f>P213*地域経済性分析・初期条件!$H$43</f>
        <v>0</v>
      </c>
      <c r="Q218" s="478">
        <f>Q213*地域経済性分析・初期条件!$H$43</f>
        <v>0</v>
      </c>
      <c r="R218" s="478">
        <f>R213*地域経済性分析・初期条件!$H$43</f>
        <v>0</v>
      </c>
      <c r="S218" s="478">
        <f>S213*地域経済性分析・初期条件!$H$43</f>
        <v>0</v>
      </c>
      <c r="T218" s="478">
        <f>T213*地域経済性分析・初期条件!$H$43</f>
        <v>0</v>
      </c>
      <c r="U218" s="478">
        <f>U213*地域経済性分析・初期条件!$H$43</f>
        <v>0</v>
      </c>
      <c r="V218" s="478">
        <f>V213*地域経済性分析・初期条件!$H$43</f>
        <v>0</v>
      </c>
      <c r="W218" s="478">
        <f>W213*地域経済性分析・初期条件!$H$43</f>
        <v>0</v>
      </c>
      <c r="X218" s="478">
        <f>X213*地域経済性分析・初期条件!$H$43</f>
        <v>0</v>
      </c>
      <c r="Y218" s="478">
        <f>Y213*地域経済性分析・初期条件!$H$43</f>
        <v>0</v>
      </c>
      <c r="Z218" s="478">
        <f>Z213*地域経済性分析・初期条件!$H$43</f>
        <v>0</v>
      </c>
      <c r="AA218" s="478">
        <f>AA213*地域経済性分析・初期条件!$H$43</f>
        <v>0</v>
      </c>
      <c r="AB218" s="478">
        <f>AB213*地域経済性分析・初期条件!$H$43</f>
        <v>0</v>
      </c>
      <c r="AC218" s="478">
        <f>AC213*地域経済性分析・初期条件!$H$43</f>
        <v>0</v>
      </c>
      <c r="AD218" s="478">
        <f>AD213*地域経済性分析・初期条件!$H$43</f>
        <v>0</v>
      </c>
      <c r="AE218" s="478">
        <f>AE213*地域経済性分析・初期条件!$H$43</f>
        <v>0</v>
      </c>
      <c r="AF218" s="478">
        <f>AF213*地域経済性分析・初期条件!$H$43</f>
        <v>0</v>
      </c>
      <c r="AG218" s="478">
        <f>AG213*地域経済性分析・初期条件!$H$43</f>
        <v>0</v>
      </c>
      <c r="AH218" s="478">
        <f>AH213*地域経済性分析・初期条件!$H$43</f>
        <v>0</v>
      </c>
      <c r="AI218" s="548">
        <f t="shared" si="73"/>
        <v>0</v>
      </c>
      <c r="AJ218" s="548">
        <f t="shared" si="74"/>
        <v>0</v>
      </c>
      <c r="AK218" s="510">
        <f t="shared" si="75"/>
        <v>0</v>
      </c>
    </row>
    <row r="219" spans="1:37" ht="11.5" x14ac:dyDescent="0.25">
      <c r="A219" s="546" t="str">
        <f>A212&amp;B219</f>
        <v>0企業の税引後利益（一次）</v>
      </c>
      <c r="B219" s="452" t="s">
        <v>340</v>
      </c>
      <c r="C219" s="464" t="s">
        <v>37</v>
      </c>
      <c r="D219" s="507">
        <f>D213*地域経済性分析・初期条件!$I$43</f>
        <v>0</v>
      </c>
      <c r="E219" s="507">
        <f>E213*地域経済性分析・初期条件!$I$43</f>
        <v>0</v>
      </c>
      <c r="F219" s="507">
        <f>F213*地域経済性分析・初期条件!$I$43</f>
        <v>0</v>
      </c>
      <c r="G219" s="478">
        <f>G213*地域経済性分析・初期条件!$I$43</f>
        <v>0</v>
      </c>
      <c r="H219" s="478">
        <f>H213*地域経済性分析・初期条件!$I$43</f>
        <v>0</v>
      </c>
      <c r="I219" s="478">
        <f>I213*地域経済性分析・初期条件!$I$43</f>
        <v>0</v>
      </c>
      <c r="J219" s="478">
        <f>J213*地域経済性分析・初期条件!$I$43</f>
        <v>0</v>
      </c>
      <c r="K219" s="478">
        <f>K213*地域経済性分析・初期条件!$I$43</f>
        <v>0</v>
      </c>
      <c r="L219" s="478">
        <f>L213*地域経済性分析・初期条件!$I$43</f>
        <v>0</v>
      </c>
      <c r="M219" s="478">
        <f>M213*地域経済性分析・初期条件!$I$43</f>
        <v>0</v>
      </c>
      <c r="N219" s="478">
        <f>N213*地域経済性分析・初期条件!$I$43</f>
        <v>0</v>
      </c>
      <c r="O219" s="478">
        <f>O213*地域経済性分析・初期条件!$I$43</f>
        <v>0</v>
      </c>
      <c r="P219" s="478">
        <f>P213*地域経済性分析・初期条件!$I$43</f>
        <v>0</v>
      </c>
      <c r="Q219" s="478">
        <f>Q213*地域経済性分析・初期条件!$I$43</f>
        <v>0</v>
      </c>
      <c r="R219" s="478">
        <f>R213*地域経済性分析・初期条件!$I$43</f>
        <v>0</v>
      </c>
      <c r="S219" s="478">
        <f>S213*地域経済性分析・初期条件!$I$43</f>
        <v>0</v>
      </c>
      <c r="T219" s="478">
        <f>T213*地域経済性分析・初期条件!$I$43</f>
        <v>0</v>
      </c>
      <c r="U219" s="478">
        <f>U213*地域経済性分析・初期条件!$I$43</f>
        <v>0</v>
      </c>
      <c r="V219" s="478">
        <f>V213*地域経済性分析・初期条件!$I$43</f>
        <v>0</v>
      </c>
      <c r="W219" s="478">
        <f>W213*地域経済性分析・初期条件!$I$43</f>
        <v>0</v>
      </c>
      <c r="X219" s="478">
        <f>X213*地域経済性分析・初期条件!$I$43</f>
        <v>0</v>
      </c>
      <c r="Y219" s="478">
        <f>Y213*地域経済性分析・初期条件!$I$43</f>
        <v>0</v>
      </c>
      <c r="Z219" s="478">
        <f>Z213*地域経済性分析・初期条件!$I$43</f>
        <v>0</v>
      </c>
      <c r="AA219" s="478">
        <f>AA213*地域経済性分析・初期条件!$I$43</f>
        <v>0</v>
      </c>
      <c r="AB219" s="478">
        <f>AB213*地域経済性分析・初期条件!$I$43</f>
        <v>0</v>
      </c>
      <c r="AC219" s="478">
        <f>AC213*地域経済性分析・初期条件!$I$43</f>
        <v>0</v>
      </c>
      <c r="AD219" s="478">
        <f>AD213*地域経済性分析・初期条件!$I$43</f>
        <v>0</v>
      </c>
      <c r="AE219" s="478">
        <f>AE213*地域経済性分析・初期条件!$I$43</f>
        <v>0</v>
      </c>
      <c r="AF219" s="478">
        <f>AF213*地域経済性分析・初期条件!$I$43</f>
        <v>0</v>
      </c>
      <c r="AG219" s="478">
        <f>AG213*地域経済性分析・初期条件!$I$43</f>
        <v>0</v>
      </c>
      <c r="AH219" s="478">
        <f>AH213*地域経済性分析・初期条件!$I$43</f>
        <v>0</v>
      </c>
      <c r="AI219" s="548">
        <f t="shared" si="73"/>
        <v>0</v>
      </c>
      <c r="AJ219" s="548">
        <f t="shared" ref="AJ219:AJ225" si="76">SUM(D219:X219)</f>
        <v>0</v>
      </c>
      <c r="AK219" s="510">
        <f t="shared" ref="AK219:AK225" si="77">SUM(D219:AH219)</f>
        <v>0</v>
      </c>
    </row>
    <row r="220" spans="1:37" ht="11.5" x14ac:dyDescent="0.25">
      <c r="A220" s="546" t="str">
        <f>A212&amp;B220</f>
        <v>0都道府県税収（一次）</v>
      </c>
      <c r="B220" s="452" t="s">
        <v>341</v>
      </c>
      <c r="C220" s="464" t="s">
        <v>37</v>
      </c>
      <c r="D220" s="507">
        <f>D213*地域経済性分析・初期条件!$J$43</f>
        <v>0</v>
      </c>
      <c r="E220" s="507">
        <f>E213*地域経済性分析・初期条件!$J$43</f>
        <v>0</v>
      </c>
      <c r="F220" s="507">
        <f>F213*地域経済性分析・初期条件!$J$43</f>
        <v>0</v>
      </c>
      <c r="G220" s="478">
        <f>G213*地域経済性分析・初期条件!$J$43</f>
        <v>0</v>
      </c>
      <c r="H220" s="478">
        <f>H213*地域経済性分析・初期条件!$J$43</f>
        <v>0</v>
      </c>
      <c r="I220" s="478">
        <f>I213*地域経済性分析・初期条件!$J$43</f>
        <v>0</v>
      </c>
      <c r="J220" s="478">
        <f>J213*地域経済性分析・初期条件!$J$43</f>
        <v>0</v>
      </c>
      <c r="K220" s="478">
        <f>K213*地域経済性分析・初期条件!$J$43</f>
        <v>0</v>
      </c>
      <c r="L220" s="478">
        <f>L213*地域経済性分析・初期条件!$J$43</f>
        <v>0</v>
      </c>
      <c r="M220" s="478">
        <f>M213*地域経済性分析・初期条件!$J$43</f>
        <v>0</v>
      </c>
      <c r="N220" s="478">
        <f>N213*地域経済性分析・初期条件!$J$43</f>
        <v>0</v>
      </c>
      <c r="O220" s="478">
        <f>O213*地域経済性分析・初期条件!$J$43</f>
        <v>0</v>
      </c>
      <c r="P220" s="478">
        <f>P213*地域経済性分析・初期条件!$J$43</f>
        <v>0</v>
      </c>
      <c r="Q220" s="478">
        <f>Q213*地域経済性分析・初期条件!$J$43</f>
        <v>0</v>
      </c>
      <c r="R220" s="478">
        <f>R213*地域経済性分析・初期条件!$J$43</f>
        <v>0</v>
      </c>
      <c r="S220" s="478">
        <f>S213*地域経済性分析・初期条件!$J$43</f>
        <v>0</v>
      </c>
      <c r="T220" s="478">
        <f>T213*地域経済性分析・初期条件!$J$43</f>
        <v>0</v>
      </c>
      <c r="U220" s="478">
        <f>U213*地域経済性分析・初期条件!$J$43</f>
        <v>0</v>
      </c>
      <c r="V220" s="478">
        <f>V213*地域経済性分析・初期条件!$J$43</f>
        <v>0</v>
      </c>
      <c r="W220" s="478">
        <f>W213*地域経済性分析・初期条件!$J$43</f>
        <v>0</v>
      </c>
      <c r="X220" s="478">
        <f>X213*地域経済性分析・初期条件!$J$43</f>
        <v>0</v>
      </c>
      <c r="Y220" s="478">
        <f>Y213*地域経済性分析・初期条件!$J$43</f>
        <v>0</v>
      </c>
      <c r="Z220" s="478">
        <f>Z213*地域経済性分析・初期条件!$J$43</f>
        <v>0</v>
      </c>
      <c r="AA220" s="478">
        <f>AA213*地域経済性分析・初期条件!$J$43</f>
        <v>0</v>
      </c>
      <c r="AB220" s="478">
        <f>AB213*地域経済性分析・初期条件!$J$43</f>
        <v>0</v>
      </c>
      <c r="AC220" s="478">
        <f>AC213*地域経済性分析・初期条件!$J$43</f>
        <v>0</v>
      </c>
      <c r="AD220" s="478">
        <f>AD213*地域経済性分析・初期条件!$J$43</f>
        <v>0</v>
      </c>
      <c r="AE220" s="478">
        <f>AE213*地域経済性分析・初期条件!$J$43</f>
        <v>0</v>
      </c>
      <c r="AF220" s="478">
        <f>AF213*地域経済性分析・初期条件!$J$43</f>
        <v>0</v>
      </c>
      <c r="AG220" s="478">
        <f>AG213*地域経済性分析・初期条件!$J$43</f>
        <v>0</v>
      </c>
      <c r="AH220" s="478">
        <f>AH213*地域経済性分析・初期条件!$J$43</f>
        <v>0</v>
      </c>
      <c r="AI220" s="548">
        <f t="shared" si="73"/>
        <v>0</v>
      </c>
      <c r="AJ220" s="548">
        <f t="shared" si="76"/>
        <v>0</v>
      </c>
      <c r="AK220" s="510">
        <f t="shared" si="77"/>
        <v>0</v>
      </c>
    </row>
    <row r="221" spans="1:37" ht="11.5" x14ac:dyDescent="0.25">
      <c r="A221" s="546" t="str">
        <f>A212&amp;B221</f>
        <v>0市町村税収（一次）</v>
      </c>
      <c r="B221" s="452" t="s">
        <v>342</v>
      </c>
      <c r="C221" s="465" t="s">
        <v>37</v>
      </c>
      <c r="D221" s="507">
        <f>D213*地域経済性分析・初期条件!$K$43</f>
        <v>0</v>
      </c>
      <c r="E221" s="507">
        <f>E213*地域経済性分析・初期条件!$K$43</f>
        <v>0</v>
      </c>
      <c r="F221" s="507">
        <f>F213*地域経済性分析・初期条件!$K$43</f>
        <v>0</v>
      </c>
      <c r="G221" s="478">
        <f>G213*地域経済性分析・初期条件!$K$43</f>
        <v>0</v>
      </c>
      <c r="H221" s="478">
        <f>H213*地域経済性分析・初期条件!$K$43</f>
        <v>0</v>
      </c>
      <c r="I221" s="478">
        <f>I213*地域経済性分析・初期条件!$K$43</f>
        <v>0</v>
      </c>
      <c r="J221" s="478">
        <f>J213*地域経済性分析・初期条件!$K$43</f>
        <v>0</v>
      </c>
      <c r="K221" s="478">
        <f>K213*地域経済性分析・初期条件!$K$43</f>
        <v>0</v>
      </c>
      <c r="L221" s="478">
        <f>L213*地域経済性分析・初期条件!$K$43</f>
        <v>0</v>
      </c>
      <c r="M221" s="478">
        <f>M213*地域経済性分析・初期条件!$K$43</f>
        <v>0</v>
      </c>
      <c r="N221" s="478">
        <f>N213*地域経済性分析・初期条件!$K$43</f>
        <v>0</v>
      </c>
      <c r="O221" s="478">
        <f>O213*地域経済性分析・初期条件!$K$43</f>
        <v>0</v>
      </c>
      <c r="P221" s="478">
        <f>P213*地域経済性分析・初期条件!$K$43</f>
        <v>0</v>
      </c>
      <c r="Q221" s="478">
        <f>Q213*地域経済性分析・初期条件!$K$43</f>
        <v>0</v>
      </c>
      <c r="R221" s="478">
        <f>R213*地域経済性分析・初期条件!$K$43</f>
        <v>0</v>
      </c>
      <c r="S221" s="478">
        <f>S213*地域経済性分析・初期条件!$K$43</f>
        <v>0</v>
      </c>
      <c r="T221" s="478">
        <f>T213*地域経済性分析・初期条件!$K$43</f>
        <v>0</v>
      </c>
      <c r="U221" s="478">
        <f>U213*地域経済性分析・初期条件!$K$43</f>
        <v>0</v>
      </c>
      <c r="V221" s="478">
        <f>V213*地域経済性分析・初期条件!$K$43</f>
        <v>0</v>
      </c>
      <c r="W221" s="478">
        <f>W213*地域経済性分析・初期条件!$K$43</f>
        <v>0</v>
      </c>
      <c r="X221" s="478">
        <f>X213*地域経済性分析・初期条件!$K$43</f>
        <v>0</v>
      </c>
      <c r="Y221" s="478">
        <f>Y213*地域経済性分析・初期条件!$K$43</f>
        <v>0</v>
      </c>
      <c r="Z221" s="478">
        <f>Z213*地域経済性分析・初期条件!$K$43</f>
        <v>0</v>
      </c>
      <c r="AA221" s="478">
        <f>AA213*地域経済性分析・初期条件!$K$43</f>
        <v>0</v>
      </c>
      <c r="AB221" s="478">
        <f>AB213*地域経済性分析・初期条件!$K$43</f>
        <v>0</v>
      </c>
      <c r="AC221" s="478">
        <f>AC213*地域経済性分析・初期条件!$K$43</f>
        <v>0</v>
      </c>
      <c r="AD221" s="478">
        <f>AD213*地域経済性分析・初期条件!$K$43</f>
        <v>0</v>
      </c>
      <c r="AE221" s="478">
        <f>AE213*地域経済性分析・初期条件!$K$43</f>
        <v>0</v>
      </c>
      <c r="AF221" s="478">
        <f>AF213*地域経済性分析・初期条件!$K$43</f>
        <v>0</v>
      </c>
      <c r="AG221" s="478">
        <f>AG213*地域経済性分析・初期条件!$K$43</f>
        <v>0</v>
      </c>
      <c r="AH221" s="478">
        <f>AH213*地域経済性分析・初期条件!$K$43</f>
        <v>0</v>
      </c>
      <c r="AI221" s="548">
        <f t="shared" si="73"/>
        <v>0</v>
      </c>
      <c r="AJ221" s="548">
        <f t="shared" si="76"/>
        <v>0</v>
      </c>
      <c r="AK221" s="510">
        <f t="shared" si="77"/>
        <v>0</v>
      </c>
    </row>
    <row r="222" spans="1:37" ht="11.5" x14ac:dyDescent="0.25">
      <c r="A222" s="546" t="str">
        <f>A212&amp;B222</f>
        <v>0従業員の可処分所得（二次以降）</v>
      </c>
      <c r="B222" s="452" t="s">
        <v>344</v>
      </c>
      <c r="C222" s="465" t="s">
        <v>37</v>
      </c>
      <c r="D222" s="507">
        <f>D213*地域経済性分析・初期条件!$L$43</f>
        <v>0</v>
      </c>
      <c r="E222" s="507">
        <f>E213*地域経済性分析・初期条件!$L$43</f>
        <v>0</v>
      </c>
      <c r="F222" s="507">
        <f>F213*地域経済性分析・初期条件!$L$43</f>
        <v>0</v>
      </c>
      <c r="G222" s="478">
        <f>G213*地域経済性分析・初期条件!$L$43</f>
        <v>0</v>
      </c>
      <c r="H222" s="478">
        <f>H213*地域経済性分析・初期条件!$L$43</f>
        <v>0</v>
      </c>
      <c r="I222" s="478">
        <f>I213*地域経済性分析・初期条件!$L$43</f>
        <v>0</v>
      </c>
      <c r="J222" s="478">
        <f>J213*地域経済性分析・初期条件!$L$43</f>
        <v>0</v>
      </c>
      <c r="K222" s="478">
        <f>K213*地域経済性分析・初期条件!$L$43</f>
        <v>0</v>
      </c>
      <c r="L222" s="478">
        <f>L213*地域経済性分析・初期条件!$L$43</f>
        <v>0</v>
      </c>
      <c r="M222" s="478">
        <f>M213*地域経済性分析・初期条件!$L$43</f>
        <v>0</v>
      </c>
      <c r="N222" s="478">
        <f>N213*地域経済性分析・初期条件!$L$43</f>
        <v>0</v>
      </c>
      <c r="O222" s="478">
        <f>O213*地域経済性分析・初期条件!$L$43</f>
        <v>0</v>
      </c>
      <c r="P222" s="478">
        <f>P213*地域経済性分析・初期条件!$L$43</f>
        <v>0</v>
      </c>
      <c r="Q222" s="478">
        <f>Q213*地域経済性分析・初期条件!$L$43</f>
        <v>0</v>
      </c>
      <c r="R222" s="478">
        <f>R213*地域経済性分析・初期条件!$L$43</f>
        <v>0</v>
      </c>
      <c r="S222" s="478">
        <f>S213*地域経済性分析・初期条件!$L$43</f>
        <v>0</v>
      </c>
      <c r="T222" s="478">
        <f>T213*地域経済性分析・初期条件!$L$43</f>
        <v>0</v>
      </c>
      <c r="U222" s="478">
        <f>U213*地域経済性分析・初期条件!$L$43</f>
        <v>0</v>
      </c>
      <c r="V222" s="478">
        <f>V213*地域経済性分析・初期条件!$L$43</f>
        <v>0</v>
      </c>
      <c r="W222" s="478">
        <f>W213*地域経済性分析・初期条件!$L$43</f>
        <v>0</v>
      </c>
      <c r="X222" s="478">
        <f>X213*地域経済性分析・初期条件!$L$43</f>
        <v>0</v>
      </c>
      <c r="Y222" s="478">
        <f>Y213*地域経済性分析・初期条件!$L$43</f>
        <v>0</v>
      </c>
      <c r="Z222" s="478">
        <f>Z213*地域経済性分析・初期条件!$L$43</f>
        <v>0</v>
      </c>
      <c r="AA222" s="478">
        <f>AA213*地域経済性分析・初期条件!$L$43</f>
        <v>0</v>
      </c>
      <c r="AB222" s="478">
        <f>AB213*地域経済性分析・初期条件!$L$43</f>
        <v>0</v>
      </c>
      <c r="AC222" s="478">
        <f>AC213*地域経済性分析・初期条件!$L$43</f>
        <v>0</v>
      </c>
      <c r="AD222" s="478">
        <f>AD213*地域経済性分析・初期条件!$L$43</f>
        <v>0</v>
      </c>
      <c r="AE222" s="478">
        <f>AE213*地域経済性分析・初期条件!$L$43</f>
        <v>0</v>
      </c>
      <c r="AF222" s="478">
        <f>AF213*地域経済性分析・初期条件!$L$43</f>
        <v>0</v>
      </c>
      <c r="AG222" s="478">
        <f>AG213*地域経済性分析・初期条件!$L$43</f>
        <v>0</v>
      </c>
      <c r="AH222" s="478">
        <f>AH213*地域経済性分析・初期条件!$L$43</f>
        <v>0</v>
      </c>
      <c r="AI222" s="548">
        <f t="shared" si="73"/>
        <v>0</v>
      </c>
      <c r="AJ222" s="548">
        <f t="shared" si="76"/>
        <v>0</v>
      </c>
      <c r="AK222" s="510">
        <f t="shared" si="77"/>
        <v>0</v>
      </c>
    </row>
    <row r="223" spans="1:37" ht="11.5" x14ac:dyDescent="0.25">
      <c r="A223" s="546" t="str">
        <f>A212&amp;B223</f>
        <v>0企業の税引後利益（二次以降）</v>
      </c>
      <c r="B223" s="452" t="s">
        <v>345</v>
      </c>
      <c r="C223" s="465" t="s">
        <v>37</v>
      </c>
      <c r="D223" s="507">
        <f>D213*地域経済性分析・初期条件!$M$43</f>
        <v>0</v>
      </c>
      <c r="E223" s="507">
        <f>E213*地域経済性分析・初期条件!$M$43</f>
        <v>0</v>
      </c>
      <c r="F223" s="507">
        <f>F213*地域経済性分析・初期条件!$M$43</f>
        <v>0</v>
      </c>
      <c r="G223" s="478">
        <f>G213*地域経済性分析・初期条件!$M$43</f>
        <v>0</v>
      </c>
      <c r="H223" s="478">
        <f>H213*地域経済性分析・初期条件!$M$43</f>
        <v>0</v>
      </c>
      <c r="I223" s="478">
        <f>I213*地域経済性分析・初期条件!$M$43</f>
        <v>0</v>
      </c>
      <c r="J223" s="478">
        <f>J213*地域経済性分析・初期条件!$M$43</f>
        <v>0</v>
      </c>
      <c r="K223" s="478">
        <f>K213*地域経済性分析・初期条件!$M$43</f>
        <v>0</v>
      </c>
      <c r="L223" s="478">
        <f>L213*地域経済性分析・初期条件!$M$43</f>
        <v>0</v>
      </c>
      <c r="M223" s="478">
        <f>M213*地域経済性分析・初期条件!$M$43</f>
        <v>0</v>
      </c>
      <c r="N223" s="478">
        <f>N213*地域経済性分析・初期条件!$M$43</f>
        <v>0</v>
      </c>
      <c r="O223" s="478">
        <f>O213*地域経済性分析・初期条件!$M$43</f>
        <v>0</v>
      </c>
      <c r="P223" s="478">
        <f>P213*地域経済性分析・初期条件!$M$43</f>
        <v>0</v>
      </c>
      <c r="Q223" s="478">
        <f>Q213*地域経済性分析・初期条件!$M$43</f>
        <v>0</v>
      </c>
      <c r="R223" s="478">
        <f>R213*地域経済性分析・初期条件!$M$43</f>
        <v>0</v>
      </c>
      <c r="S223" s="478">
        <f>S213*地域経済性分析・初期条件!$M$43</f>
        <v>0</v>
      </c>
      <c r="T223" s="478">
        <f>T213*地域経済性分析・初期条件!$M$43</f>
        <v>0</v>
      </c>
      <c r="U223" s="478">
        <f>U213*地域経済性分析・初期条件!$M$43</f>
        <v>0</v>
      </c>
      <c r="V223" s="478">
        <f>V213*地域経済性分析・初期条件!$M$43</f>
        <v>0</v>
      </c>
      <c r="W223" s="478">
        <f>W213*地域経済性分析・初期条件!$M$43</f>
        <v>0</v>
      </c>
      <c r="X223" s="478">
        <f>X213*地域経済性分析・初期条件!$M$43</f>
        <v>0</v>
      </c>
      <c r="Y223" s="478">
        <f>Y213*地域経済性分析・初期条件!$M$43</f>
        <v>0</v>
      </c>
      <c r="Z223" s="478">
        <f>Z213*地域経済性分析・初期条件!$M$43</f>
        <v>0</v>
      </c>
      <c r="AA223" s="478">
        <f>AA213*地域経済性分析・初期条件!$M$43</f>
        <v>0</v>
      </c>
      <c r="AB223" s="478">
        <f>AB213*地域経済性分析・初期条件!$M$43</f>
        <v>0</v>
      </c>
      <c r="AC223" s="478">
        <f>AC213*地域経済性分析・初期条件!$M$43</f>
        <v>0</v>
      </c>
      <c r="AD223" s="478">
        <f>AD213*地域経済性分析・初期条件!$M$43</f>
        <v>0</v>
      </c>
      <c r="AE223" s="478">
        <f>AE213*地域経済性分析・初期条件!$M$43</f>
        <v>0</v>
      </c>
      <c r="AF223" s="478">
        <f>AF213*地域経済性分析・初期条件!$M$43</f>
        <v>0</v>
      </c>
      <c r="AG223" s="478">
        <f>AG213*地域経済性分析・初期条件!$M$43</f>
        <v>0</v>
      </c>
      <c r="AH223" s="478">
        <f>AH213*地域経済性分析・初期条件!$M$43</f>
        <v>0</v>
      </c>
      <c r="AI223" s="548">
        <f t="shared" si="73"/>
        <v>0</v>
      </c>
      <c r="AJ223" s="548">
        <f t="shared" si="76"/>
        <v>0</v>
      </c>
      <c r="AK223" s="510">
        <f t="shared" si="77"/>
        <v>0</v>
      </c>
    </row>
    <row r="224" spans="1:37" ht="11.5" x14ac:dyDescent="0.25">
      <c r="A224" s="546" t="str">
        <f>A212&amp;B224</f>
        <v>0都道府県税収（二次以降）</v>
      </c>
      <c r="B224" s="452" t="s">
        <v>346</v>
      </c>
      <c r="C224" s="465" t="s">
        <v>37</v>
      </c>
      <c r="D224" s="507">
        <f>D213*地域経済性分析・初期条件!$N$43</f>
        <v>0</v>
      </c>
      <c r="E224" s="507">
        <f>E213*地域経済性分析・初期条件!$N$43</f>
        <v>0</v>
      </c>
      <c r="F224" s="507">
        <f>F213*地域経済性分析・初期条件!$N$43</f>
        <v>0</v>
      </c>
      <c r="G224" s="478">
        <f>G213*地域経済性分析・初期条件!$N$43</f>
        <v>0</v>
      </c>
      <c r="H224" s="478">
        <f>H213*地域経済性分析・初期条件!$N$43</f>
        <v>0</v>
      </c>
      <c r="I224" s="478">
        <f>I213*地域経済性分析・初期条件!$N$43</f>
        <v>0</v>
      </c>
      <c r="J224" s="478">
        <f>J213*地域経済性分析・初期条件!$N$43</f>
        <v>0</v>
      </c>
      <c r="K224" s="478">
        <f>K213*地域経済性分析・初期条件!$N$43</f>
        <v>0</v>
      </c>
      <c r="L224" s="478">
        <f>L213*地域経済性分析・初期条件!$N$43</f>
        <v>0</v>
      </c>
      <c r="M224" s="478">
        <f>M213*地域経済性分析・初期条件!$N$43</f>
        <v>0</v>
      </c>
      <c r="N224" s="478">
        <f>N213*地域経済性分析・初期条件!$N$43</f>
        <v>0</v>
      </c>
      <c r="O224" s="478">
        <f>O213*地域経済性分析・初期条件!$N$43</f>
        <v>0</v>
      </c>
      <c r="P224" s="478">
        <f>P213*地域経済性分析・初期条件!$N$43</f>
        <v>0</v>
      </c>
      <c r="Q224" s="478">
        <f>Q213*地域経済性分析・初期条件!$N$43</f>
        <v>0</v>
      </c>
      <c r="R224" s="478">
        <f>R213*地域経済性分析・初期条件!$N$43</f>
        <v>0</v>
      </c>
      <c r="S224" s="478">
        <f>S213*地域経済性分析・初期条件!$N$43</f>
        <v>0</v>
      </c>
      <c r="T224" s="478">
        <f>T213*地域経済性分析・初期条件!$N$43</f>
        <v>0</v>
      </c>
      <c r="U224" s="478">
        <f>U213*地域経済性分析・初期条件!$N$43</f>
        <v>0</v>
      </c>
      <c r="V224" s="478">
        <f>V213*地域経済性分析・初期条件!$N$43</f>
        <v>0</v>
      </c>
      <c r="W224" s="478">
        <f>W213*地域経済性分析・初期条件!$N$43</f>
        <v>0</v>
      </c>
      <c r="X224" s="478">
        <f>X213*地域経済性分析・初期条件!$N$43</f>
        <v>0</v>
      </c>
      <c r="Y224" s="478">
        <f>Y213*地域経済性分析・初期条件!$N$43</f>
        <v>0</v>
      </c>
      <c r="Z224" s="478">
        <f>Z213*地域経済性分析・初期条件!$N$43</f>
        <v>0</v>
      </c>
      <c r="AA224" s="478">
        <f>AA213*地域経済性分析・初期条件!$N$43</f>
        <v>0</v>
      </c>
      <c r="AB224" s="478">
        <f>AB213*地域経済性分析・初期条件!$N$43</f>
        <v>0</v>
      </c>
      <c r="AC224" s="478">
        <f>AC213*地域経済性分析・初期条件!$N$43</f>
        <v>0</v>
      </c>
      <c r="AD224" s="478">
        <f>AD213*地域経済性分析・初期条件!$N$43</f>
        <v>0</v>
      </c>
      <c r="AE224" s="478">
        <f>AE213*地域経済性分析・初期条件!$N$43</f>
        <v>0</v>
      </c>
      <c r="AF224" s="478">
        <f>AF213*地域経済性分析・初期条件!$N$43</f>
        <v>0</v>
      </c>
      <c r="AG224" s="478">
        <f>AG213*地域経済性分析・初期条件!$N$43</f>
        <v>0</v>
      </c>
      <c r="AH224" s="478">
        <f>AH213*地域経済性分析・初期条件!$N$43</f>
        <v>0</v>
      </c>
      <c r="AI224" s="548">
        <f t="shared" si="73"/>
        <v>0</v>
      </c>
      <c r="AJ224" s="548">
        <f t="shared" si="76"/>
        <v>0</v>
      </c>
      <c r="AK224" s="510">
        <f t="shared" si="77"/>
        <v>0</v>
      </c>
    </row>
    <row r="225" spans="1:37" ht="12" thickBot="1" x14ac:dyDescent="0.3">
      <c r="A225" s="682" t="str">
        <f>A212&amp;B225</f>
        <v>0市町村税収（二次以降）</v>
      </c>
      <c r="B225" s="683" t="s">
        <v>347</v>
      </c>
      <c r="C225" s="684" t="s">
        <v>37</v>
      </c>
      <c r="D225" s="685">
        <f>D213*地域経済性分析・初期条件!$O$43</f>
        <v>0</v>
      </c>
      <c r="E225" s="685">
        <f>E213*地域経済性分析・初期条件!$O$43</f>
        <v>0</v>
      </c>
      <c r="F225" s="685">
        <f>F213*地域経済性分析・初期条件!$O$43</f>
        <v>0</v>
      </c>
      <c r="G225" s="686">
        <f>G213*地域経済性分析・初期条件!$O$43</f>
        <v>0</v>
      </c>
      <c r="H225" s="686">
        <f>H213*地域経済性分析・初期条件!$O$43</f>
        <v>0</v>
      </c>
      <c r="I225" s="686">
        <f>I213*地域経済性分析・初期条件!$O$43</f>
        <v>0</v>
      </c>
      <c r="J225" s="686">
        <f>J213*地域経済性分析・初期条件!$O$43</f>
        <v>0</v>
      </c>
      <c r="K225" s="686">
        <f>K213*地域経済性分析・初期条件!$O$43</f>
        <v>0</v>
      </c>
      <c r="L225" s="686">
        <f>L213*地域経済性分析・初期条件!$O$43</f>
        <v>0</v>
      </c>
      <c r="M225" s="686">
        <f>M213*地域経済性分析・初期条件!$O$43</f>
        <v>0</v>
      </c>
      <c r="N225" s="686">
        <f>N213*地域経済性分析・初期条件!$O$43</f>
        <v>0</v>
      </c>
      <c r="O225" s="686">
        <f>O213*地域経済性分析・初期条件!$O$43</f>
        <v>0</v>
      </c>
      <c r="P225" s="686">
        <f>P213*地域経済性分析・初期条件!$O$43</f>
        <v>0</v>
      </c>
      <c r="Q225" s="686">
        <f>Q213*地域経済性分析・初期条件!$O$43</f>
        <v>0</v>
      </c>
      <c r="R225" s="686">
        <f>R213*地域経済性分析・初期条件!$O$43</f>
        <v>0</v>
      </c>
      <c r="S225" s="686">
        <f>S213*地域経済性分析・初期条件!$O$43</f>
        <v>0</v>
      </c>
      <c r="T225" s="686">
        <f>T213*地域経済性分析・初期条件!$O$43</f>
        <v>0</v>
      </c>
      <c r="U225" s="686">
        <f>U213*地域経済性分析・初期条件!$O$43</f>
        <v>0</v>
      </c>
      <c r="V225" s="686">
        <f>V213*地域経済性分析・初期条件!$O$43</f>
        <v>0</v>
      </c>
      <c r="W225" s="686">
        <f>W213*地域経済性分析・初期条件!$O$43</f>
        <v>0</v>
      </c>
      <c r="X225" s="686">
        <f>X213*地域経済性分析・初期条件!$O$43</f>
        <v>0</v>
      </c>
      <c r="Y225" s="686">
        <f>Y213*地域経済性分析・初期条件!$O$43</f>
        <v>0</v>
      </c>
      <c r="Z225" s="686">
        <f>Z213*地域経済性分析・初期条件!$O$43</f>
        <v>0</v>
      </c>
      <c r="AA225" s="686">
        <f>AA213*地域経済性分析・初期条件!$O$43</f>
        <v>0</v>
      </c>
      <c r="AB225" s="686">
        <f>AB213*地域経済性分析・初期条件!$O$43</f>
        <v>0</v>
      </c>
      <c r="AC225" s="686">
        <f>AC213*地域経済性分析・初期条件!$O$43</f>
        <v>0</v>
      </c>
      <c r="AD225" s="686">
        <f>AD213*地域経済性分析・初期条件!$O$43</f>
        <v>0</v>
      </c>
      <c r="AE225" s="686">
        <f>AE213*地域経済性分析・初期条件!$O$43</f>
        <v>0</v>
      </c>
      <c r="AF225" s="686">
        <f>AF213*地域経済性分析・初期条件!$O$43</f>
        <v>0</v>
      </c>
      <c r="AG225" s="686">
        <f>AG213*地域経済性分析・初期条件!$O$43</f>
        <v>0</v>
      </c>
      <c r="AH225" s="686">
        <f>AH213*地域経済性分析・初期条件!$O$43</f>
        <v>0</v>
      </c>
      <c r="AI225" s="687">
        <f t="shared" si="73"/>
        <v>0</v>
      </c>
      <c r="AJ225" s="687">
        <f t="shared" si="76"/>
        <v>0</v>
      </c>
      <c r="AK225" s="688">
        <f t="shared" si="77"/>
        <v>0</v>
      </c>
    </row>
    <row r="226" spans="1:37" ht="12" thickTop="1" x14ac:dyDescent="0.25">
      <c r="A226" s="1256" t="s">
        <v>1049</v>
      </c>
      <c r="B226" s="452"/>
      <c r="C226" s="465" t="s">
        <v>1050</v>
      </c>
      <c r="D226" s="507">
        <f>SUM(D190:D197,D204:D211,,D218:D225)</f>
        <v>0</v>
      </c>
      <c r="E226" s="507">
        <f t="shared" ref="E226:AK226" si="78">SUM(E190:E197,E204:E211,,E218:E225)</f>
        <v>9520631.6358735412</v>
      </c>
      <c r="F226" s="507">
        <f t="shared" ref="F226" si="79">SUM(F190:F197,F204:F211,,F218:F225)</f>
        <v>9520631.6358735412</v>
      </c>
      <c r="G226" s="507">
        <f t="shared" ref="G226" si="80">SUM(G190:G197,G204:G211,,G218:G225)</f>
        <v>9520631.6358735412</v>
      </c>
      <c r="H226" s="507">
        <f t="shared" ref="H226" si="81">SUM(H190:H197,H204:H211,,H218:H225)</f>
        <v>9520631.6358735412</v>
      </c>
      <c r="I226" s="507">
        <f t="shared" ref="I226" si="82">SUM(I190:I197,I204:I211,,I218:I225)</f>
        <v>9520631.6358735412</v>
      </c>
      <c r="J226" s="507">
        <f t="shared" ref="J226" si="83">SUM(J190:J197,J204:J211,,J218:J225)</f>
        <v>9520631.6358735412</v>
      </c>
      <c r="K226" s="507">
        <f t="shared" ref="K226" si="84">SUM(K190:K197,K204:K211,,K218:K225)</f>
        <v>9520631.6358735412</v>
      </c>
      <c r="L226" s="507">
        <f t="shared" ref="L226" si="85">SUM(L190:L197,L204:L211,,L218:L225)</f>
        <v>9520631.6358735412</v>
      </c>
      <c r="M226" s="507">
        <f t="shared" ref="M226" si="86">SUM(M190:M197,M204:M211,,M218:M225)</f>
        <v>9520631.6358735412</v>
      </c>
      <c r="N226" s="507">
        <f t="shared" ref="N226" si="87">SUM(N190:N197,N204:N211,,N218:N225)</f>
        <v>9520631.6358735412</v>
      </c>
      <c r="O226" s="507">
        <f t="shared" ref="O226" si="88">SUM(O190:O197,O204:O211,,O218:O225)</f>
        <v>9520631.6358735412</v>
      </c>
      <c r="P226" s="507">
        <f t="shared" ref="P226" si="89">SUM(P190:P197,P204:P211,,P218:P225)</f>
        <v>9520631.6358735412</v>
      </c>
      <c r="Q226" s="507">
        <f t="shared" ref="Q226" si="90">SUM(Q190:Q197,Q204:Q211,,Q218:Q225)</f>
        <v>9520631.6358735412</v>
      </c>
      <c r="R226" s="507">
        <f t="shared" ref="R226" si="91">SUM(R190:R197,R204:R211,,R218:R225)</f>
        <v>9520631.6358735412</v>
      </c>
      <c r="S226" s="507">
        <f t="shared" ref="S226" si="92">SUM(S190:S197,S204:S211,,S218:S225)</f>
        <v>9520631.6358735412</v>
      </c>
      <c r="T226" s="507">
        <f t="shared" ref="T226" si="93">SUM(T190:T197,T204:T211,,T218:T225)</f>
        <v>9520631.6358735412</v>
      </c>
      <c r="U226" s="507">
        <f t="shared" ref="U226" si="94">SUM(U190:U197,U204:U211,,U218:U225)</f>
        <v>9520631.6358735412</v>
      </c>
      <c r="V226" s="507">
        <f t="shared" ref="V226" si="95">SUM(V190:V197,V204:V211,,V218:V225)</f>
        <v>9520631.6358735412</v>
      </c>
      <c r="W226" s="507">
        <f t="shared" ref="W226" si="96">SUM(W190:W197,W204:W211,,W218:W225)</f>
        <v>9520631.6358735412</v>
      </c>
      <c r="X226" s="507">
        <f t="shared" ref="X226" si="97">SUM(X190:X197,X204:X211,,X218:X225)</f>
        <v>9520631.6358735412</v>
      </c>
      <c r="Y226" s="507">
        <f t="shared" ref="Y226" si="98">SUM(Y190:Y197,Y204:Y211,,Y218:Y225)</f>
        <v>9520631.6358735412</v>
      </c>
      <c r="Z226" s="507">
        <f t="shared" ref="Z226" si="99">SUM(Z190:Z197,Z204:Z211,,Z218:Z225)</f>
        <v>9520631.6358735412</v>
      </c>
      <c r="AA226" s="507">
        <f t="shared" ref="AA226" si="100">SUM(AA190:AA197,AA204:AA211,,AA218:AA225)</f>
        <v>9520631.6358735412</v>
      </c>
      <c r="AB226" s="507">
        <f t="shared" ref="AB226" si="101">SUM(AB190:AB197,AB204:AB211,,AB218:AB225)</f>
        <v>9520631.6358735412</v>
      </c>
      <c r="AC226" s="507">
        <f t="shared" ref="AC226" si="102">SUM(AC190:AC197,AC204:AC211,,AC218:AC225)</f>
        <v>9520631.6358735412</v>
      </c>
      <c r="AD226" s="507">
        <f t="shared" ref="AD226" si="103">SUM(AD190:AD197,AD204:AD211,,AD218:AD225)</f>
        <v>9520631.6358735412</v>
      </c>
      <c r="AE226" s="507">
        <f t="shared" ref="AE226" si="104">SUM(AE190:AE197,AE204:AE211,,AE218:AE225)</f>
        <v>9520631.6358735412</v>
      </c>
      <c r="AF226" s="507">
        <f t="shared" ref="AF226" si="105">SUM(AF190:AF197,AF204:AF211,,AF218:AF225)</f>
        <v>9520631.6358735412</v>
      </c>
      <c r="AG226" s="507">
        <f t="shared" ref="AG226" si="106">SUM(AG190:AG197,AG204:AG211,,AG218:AG225)</f>
        <v>9520631.6358735412</v>
      </c>
      <c r="AH226" s="507">
        <f t="shared" ref="AH226" si="107">SUM(AH190:AH197,AH204:AH211,,AH218:AH225)</f>
        <v>9520631.6358735412</v>
      </c>
      <c r="AI226" s="548">
        <f t="shared" si="78"/>
        <v>95206316.358735427</v>
      </c>
      <c r="AJ226" s="548">
        <f t="shared" si="78"/>
        <v>190412632.71747085</v>
      </c>
      <c r="AK226" s="510">
        <f t="shared" si="78"/>
        <v>285618949.07620621</v>
      </c>
    </row>
    <row r="227" spans="1:37" ht="11.5" x14ac:dyDescent="0.25">
      <c r="A227" s="1257" t="s">
        <v>1051</v>
      </c>
      <c r="B227" s="1258"/>
      <c r="C227" s="1259" t="s">
        <v>37</v>
      </c>
      <c r="D227" s="1254">
        <f>IF(D183&lt;0,0,D183*1.1-D226)</f>
        <v>0</v>
      </c>
      <c r="E227" s="1254">
        <f t="shared" ref="E227" si="108">IF(E183&lt;0,0,E183*1.1-E226)</f>
        <v>53757781.962883122</v>
      </c>
      <c r="F227" s="1254">
        <f t="shared" ref="F227" si="109">IF(F183&lt;0,0,F183*1.1-F226)</f>
        <v>53757781.962883122</v>
      </c>
      <c r="G227" s="1254">
        <f t="shared" ref="G227" si="110">IF(G183&lt;0,0,G183*1.1-G226)</f>
        <v>53757781.962883122</v>
      </c>
      <c r="H227" s="1254">
        <f t="shared" ref="H227" si="111">IF(H183&lt;0,0,H183*1.1-H226)</f>
        <v>53757781.962883122</v>
      </c>
      <c r="I227" s="1254">
        <f t="shared" ref="I227" si="112">IF(I183&lt;0,0,I183*1.1-I226)</f>
        <v>53757781.962883122</v>
      </c>
      <c r="J227" s="1254">
        <f t="shared" ref="J227" si="113">IF(J183&lt;0,0,J183*1.1-J226)</f>
        <v>53757781.962883122</v>
      </c>
      <c r="K227" s="1254">
        <f t="shared" ref="K227" si="114">IF(K183&lt;0,0,K183*1.1-K226)</f>
        <v>53757781.962883122</v>
      </c>
      <c r="L227" s="1254">
        <f t="shared" ref="L227" si="115">IF(L183&lt;0,0,L183*1.1-L226)</f>
        <v>53757781.962883122</v>
      </c>
      <c r="M227" s="1254">
        <f t="shared" ref="M227" si="116">IF(M183&lt;0,0,M183*1.1-M226)</f>
        <v>53757781.962883122</v>
      </c>
      <c r="N227" s="1254">
        <f t="shared" ref="N227" si="117">IF(N183&lt;0,0,N183*1.1-N226)</f>
        <v>53757781.962883122</v>
      </c>
      <c r="O227" s="1254">
        <f t="shared" ref="O227" si="118">IF(O183&lt;0,0,O183*1.1-O226)</f>
        <v>53757781.962883122</v>
      </c>
      <c r="P227" s="1254">
        <f t="shared" ref="P227" si="119">IF(P183&lt;0,0,P183*1.1-P226)</f>
        <v>53757781.962883122</v>
      </c>
      <c r="Q227" s="1254">
        <f t="shared" ref="Q227" si="120">IF(Q183&lt;0,0,Q183*1.1-Q226)</f>
        <v>53757781.962883122</v>
      </c>
      <c r="R227" s="1254">
        <f t="shared" ref="R227" si="121">IF(R183&lt;0,0,R183*1.1-R226)</f>
        <v>53757781.962883122</v>
      </c>
      <c r="S227" s="1254">
        <f t="shared" ref="S227" si="122">IF(S183&lt;0,0,S183*1.1-S226)</f>
        <v>53757781.962883122</v>
      </c>
      <c r="T227" s="1254">
        <f t="shared" ref="T227" si="123">IF(T183&lt;0,0,T183*1.1-T226)</f>
        <v>53757781.962883122</v>
      </c>
      <c r="U227" s="1254">
        <f t="shared" ref="U227" si="124">IF(U183&lt;0,0,U183*1.1-U226)</f>
        <v>53757781.962883122</v>
      </c>
      <c r="V227" s="1254">
        <f t="shared" ref="V227" si="125">IF(V183&lt;0,0,V183*1.1-V226)</f>
        <v>53757781.962883122</v>
      </c>
      <c r="W227" s="1254">
        <f t="shared" ref="W227" si="126">IF(W183&lt;0,0,W183*1.1-W226)</f>
        <v>53757781.962883122</v>
      </c>
      <c r="X227" s="1254">
        <f t="shared" ref="X227" si="127">IF(X183&lt;0,0,X183*1.1-X226)</f>
        <v>53757781.962883122</v>
      </c>
      <c r="Y227" s="1254">
        <f t="shared" ref="Y227" si="128">IF(Y183&lt;0,0,Y183*1.1-Y226)</f>
        <v>53757781.962883122</v>
      </c>
      <c r="Z227" s="1254">
        <f t="shared" ref="Z227" si="129">IF(Z183&lt;0,0,Z183*1.1-Z226)</f>
        <v>53757781.962883122</v>
      </c>
      <c r="AA227" s="1254">
        <f t="shared" ref="AA227" si="130">IF(AA183&lt;0,0,AA183*1.1-AA226)</f>
        <v>53757781.962883122</v>
      </c>
      <c r="AB227" s="1254">
        <f t="shared" ref="AB227" si="131">IF(AB183&lt;0,0,AB183*1.1-AB226)</f>
        <v>53757781.962883122</v>
      </c>
      <c r="AC227" s="1254">
        <f t="shared" ref="AC227" si="132">IF(AC183&lt;0,0,AC183*1.1-AC226)</f>
        <v>53757781.962883122</v>
      </c>
      <c r="AD227" s="1254">
        <f t="shared" ref="AD227" si="133">IF(AD183&lt;0,0,AD183*1.1-AD226)</f>
        <v>53757781.962883122</v>
      </c>
      <c r="AE227" s="1254">
        <f t="shared" ref="AE227" si="134">IF(AE183&lt;0,0,AE183*1.1-AE226)</f>
        <v>53757781.962883122</v>
      </c>
      <c r="AF227" s="1254">
        <f t="shared" ref="AF227" si="135">IF(AF183&lt;0,0,AF183*1.1-AF226)</f>
        <v>53757781.962883122</v>
      </c>
      <c r="AG227" s="1254">
        <f t="shared" ref="AG227" si="136">IF(AG183&lt;0,0,AG183*1.1-AG226)</f>
        <v>53757781.962883122</v>
      </c>
      <c r="AH227" s="1254">
        <f t="shared" ref="AH227" si="137">IF(AH183&lt;0,0,AH183*1.1-AH226)</f>
        <v>53757781.962883122</v>
      </c>
      <c r="AI227" s="550">
        <f t="shared" ref="AI227:AK227" si="138">AI183-AI226</f>
        <v>480051989.08450687</v>
      </c>
      <c r="AJ227" s="550">
        <f t="shared" si="138"/>
        <v>960103978.16901398</v>
      </c>
      <c r="AK227" s="551">
        <f t="shared" si="138"/>
        <v>1440155967.2535203</v>
      </c>
    </row>
    <row r="228" spans="1:37" ht="11.5" x14ac:dyDescent="0.25">
      <c r="A228" s="452" t="str">
        <f>B33</f>
        <v>ユーティリティー費用</v>
      </c>
      <c r="B228" s="426"/>
      <c r="C228" s="464" t="s">
        <v>37</v>
      </c>
      <c r="D228" s="507"/>
      <c r="E228" s="507">
        <f>E33</f>
        <v>24653927.376138959</v>
      </c>
      <c r="F228" s="507">
        <f t="shared" ref="F228:AH228" si="139">F33</f>
        <v>24653927.376138959</v>
      </c>
      <c r="G228" s="507">
        <f t="shared" si="139"/>
        <v>24653927.376138959</v>
      </c>
      <c r="H228" s="507">
        <f t="shared" si="139"/>
        <v>24653927.376138959</v>
      </c>
      <c r="I228" s="507">
        <f t="shared" si="139"/>
        <v>24653927.376138959</v>
      </c>
      <c r="J228" s="507">
        <f t="shared" si="139"/>
        <v>24653927.376138959</v>
      </c>
      <c r="K228" s="507">
        <f t="shared" si="139"/>
        <v>24653927.376138959</v>
      </c>
      <c r="L228" s="507">
        <f t="shared" si="139"/>
        <v>24653927.376138959</v>
      </c>
      <c r="M228" s="507">
        <f t="shared" si="139"/>
        <v>24653927.376138959</v>
      </c>
      <c r="N228" s="507">
        <f t="shared" si="139"/>
        <v>24653927.376138959</v>
      </c>
      <c r="O228" s="507">
        <f t="shared" si="139"/>
        <v>24653927.376138959</v>
      </c>
      <c r="P228" s="507">
        <f t="shared" si="139"/>
        <v>24653927.376138959</v>
      </c>
      <c r="Q228" s="507">
        <f t="shared" si="139"/>
        <v>24653927.376138959</v>
      </c>
      <c r="R228" s="507">
        <f t="shared" si="139"/>
        <v>24653927.376138959</v>
      </c>
      <c r="S228" s="507">
        <f t="shared" si="139"/>
        <v>24653927.376138959</v>
      </c>
      <c r="T228" s="507">
        <f t="shared" si="139"/>
        <v>24653927.376138959</v>
      </c>
      <c r="U228" s="507">
        <f t="shared" si="139"/>
        <v>24653927.376138959</v>
      </c>
      <c r="V228" s="507">
        <f t="shared" si="139"/>
        <v>24653927.376138959</v>
      </c>
      <c r="W228" s="507">
        <f t="shared" si="139"/>
        <v>24653927.376138959</v>
      </c>
      <c r="X228" s="507">
        <f t="shared" si="139"/>
        <v>24653927.376138959</v>
      </c>
      <c r="Y228" s="507">
        <f t="shared" si="139"/>
        <v>24653927.376138959</v>
      </c>
      <c r="Z228" s="507">
        <f t="shared" si="139"/>
        <v>24653927.376138959</v>
      </c>
      <c r="AA228" s="507">
        <f t="shared" si="139"/>
        <v>24653927.376138959</v>
      </c>
      <c r="AB228" s="507">
        <f t="shared" si="139"/>
        <v>24653927.376138959</v>
      </c>
      <c r="AC228" s="507">
        <f t="shared" si="139"/>
        <v>24653927.376138959</v>
      </c>
      <c r="AD228" s="507">
        <f t="shared" si="139"/>
        <v>24653927.376138959</v>
      </c>
      <c r="AE228" s="507">
        <f t="shared" si="139"/>
        <v>24653927.376138959</v>
      </c>
      <c r="AF228" s="507">
        <f t="shared" si="139"/>
        <v>24653927.376138959</v>
      </c>
      <c r="AG228" s="507">
        <f t="shared" si="139"/>
        <v>24653927.376138959</v>
      </c>
      <c r="AH228" s="507">
        <f t="shared" si="139"/>
        <v>24653927.376138959</v>
      </c>
      <c r="AI228" s="548">
        <f>SUM(D228:N228)</f>
        <v>246539273.76138958</v>
      </c>
      <c r="AJ228" s="548">
        <f>SUM(D228:X228)</f>
        <v>493078547.52277941</v>
      </c>
      <c r="AK228" s="510">
        <f>SUM(D228:AH228)</f>
        <v>739617821.28416872</v>
      </c>
    </row>
    <row r="229" spans="1:37" ht="11.5" x14ac:dyDescent="0.25">
      <c r="A229" s="501" t="str">
        <f>地域経済性分析・初期条件!$G$45</f>
        <v>電気業</v>
      </c>
      <c r="C229" s="465"/>
      <c r="D229" s="507"/>
      <c r="E229" s="478"/>
      <c r="F229" s="479"/>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478"/>
      <c r="AE229" s="478"/>
      <c r="AF229" s="478"/>
      <c r="AG229" s="478"/>
      <c r="AH229" s="478"/>
      <c r="AI229" s="548"/>
      <c r="AJ229" s="548"/>
      <c r="AK229" s="510"/>
    </row>
    <row r="230" spans="1:37" ht="11.5" x14ac:dyDescent="0.25">
      <c r="A230" s="546" t="str">
        <f>A229&amp;B230</f>
        <v>電気業売上（税別）</v>
      </c>
      <c r="B230" s="452" t="s">
        <v>1047</v>
      </c>
      <c r="C230" s="464" t="s">
        <v>37</v>
      </c>
      <c r="D230" s="507">
        <f>D228*地域経済性分析・初期条件!$F$45</f>
        <v>0</v>
      </c>
      <c r="E230" s="507">
        <f>E228*地域経済性分析・初期条件!$F$45</f>
        <v>6163481.8440347398</v>
      </c>
      <c r="F230" s="507">
        <f>F228*地域経済性分析・初期条件!$F$45</f>
        <v>6163481.8440347398</v>
      </c>
      <c r="G230" s="507">
        <f>G228*地域経済性分析・初期条件!$F$45</f>
        <v>6163481.8440347398</v>
      </c>
      <c r="H230" s="507">
        <f>H228*地域経済性分析・初期条件!$F$45</f>
        <v>6163481.8440347398</v>
      </c>
      <c r="I230" s="507">
        <f>I228*地域経済性分析・初期条件!$F$45</f>
        <v>6163481.8440347398</v>
      </c>
      <c r="J230" s="507">
        <f>J228*地域経済性分析・初期条件!$F$45</f>
        <v>6163481.8440347398</v>
      </c>
      <c r="K230" s="507">
        <f>K228*地域経済性分析・初期条件!$F$45</f>
        <v>6163481.8440347398</v>
      </c>
      <c r="L230" s="507">
        <f>L228*地域経済性分析・初期条件!$F$45</f>
        <v>6163481.8440347398</v>
      </c>
      <c r="M230" s="507">
        <f>M228*地域経済性分析・初期条件!$F$45</f>
        <v>6163481.8440347398</v>
      </c>
      <c r="N230" s="507">
        <f>N228*地域経済性分析・初期条件!$F$45</f>
        <v>6163481.8440347398</v>
      </c>
      <c r="O230" s="507">
        <f>O228*地域経済性分析・初期条件!$F$45</f>
        <v>6163481.8440347398</v>
      </c>
      <c r="P230" s="507">
        <f>P228*地域経済性分析・初期条件!$F$45</f>
        <v>6163481.8440347398</v>
      </c>
      <c r="Q230" s="507">
        <f>Q228*地域経済性分析・初期条件!$F$45</f>
        <v>6163481.8440347398</v>
      </c>
      <c r="R230" s="507">
        <f>R228*地域経済性分析・初期条件!$F$45</f>
        <v>6163481.8440347398</v>
      </c>
      <c r="S230" s="507">
        <f>S228*地域経済性分析・初期条件!$F$45</f>
        <v>6163481.8440347398</v>
      </c>
      <c r="T230" s="507">
        <f>T228*地域経済性分析・初期条件!$F$45</f>
        <v>6163481.8440347398</v>
      </c>
      <c r="U230" s="507">
        <f>U228*地域経済性分析・初期条件!$F$45</f>
        <v>6163481.8440347398</v>
      </c>
      <c r="V230" s="507">
        <f>V228*地域経済性分析・初期条件!$F$45</f>
        <v>6163481.8440347398</v>
      </c>
      <c r="W230" s="507">
        <f>W228*地域経済性分析・初期条件!$F$45</f>
        <v>6163481.8440347398</v>
      </c>
      <c r="X230" s="507">
        <f>X228*地域経済性分析・初期条件!$F$45</f>
        <v>6163481.8440347398</v>
      </c>
      <c r="Y230" s="507">
        <f>Y228*地域経済性分析・初期条件!$F$45</f>
        <v>6163481.8440347398</v>
      </c>
      <c r="Z230" s="507">
        <f>Z228*地域経済性分析・初期条件!$F$45</f>
        <v>6163481.8440347398</v>
      </c>
      <c r="AA230" s="507">
        <f>AA228*地域経済性分析・初期条件!$F$45</f>
        <v>6163481.8440347398</v>
      </c>
      <c r="AB230" s="507">
        <f>AB228*地域経済性分析・初期条件!$F$45</f>
        <v>6163481.8440347398</v>
      </c>
      <c r="AC230" s="507">
        <f>AC228*地域経済性分析・初期条件!$F$45</f>
        <v>6163481.8440347398</v>
      </c>
      <c r="AD230" s="507">
        <f>AD228*地域経済性分析・初期条件!$F$45</f>
        <v>6163481.8440347398</v>
      </c>
      <c r="AE230" s="507">
        <f>AE228*地域経済性分析・初期条件!$F$45</f>
        <v>6163481.8440347398</v>
      </c>
      <c r="AF230" s="507">
        <f>AF228*地域経済性分析・初期条件!$F$45</f>
        <v>6163481.8440347398</v>
      </c>
      <c r="AG230" s="507">
        <f>AG228*地域経済性分析・初期条件!$F$45</f>
        <v>6163481.8440347398</v>
      </c>
      <c r="AH230" s="507">
        <f>AH228*地域経済性分析・初期条件!$F$45</f>
        <v>6163481.8440347398</v>
      </c>
      <c r="AI230" s="548">
        <f t="shared" ref="AI230:AI242" si="140">SUM(D230:N230)</f>
        <v>61634818.440347396</v>
      </c>
      <c r="AJ230" s="548">
        <f t="shared" ref="AJ230:AJ242" si="141">SUM(D230:X230)</f>
        <v>123269636.88069485</v>
      </c>
      <c r="AK230" s="510">
        <f t="shared" ref="AK230:AK242" si="142">SUM(D230:AH230)</f>
        <v>184904455.32104218</v>
      </c>
    </row>
    <row r="231" spans="1:37" ht="11.5" x14ac:dyDescent="0.25">
      <c r="A231" s="546" t="str">
        <f>A229&amp;B231</f>
        <v>電気業消費税（都道府県）</v>
      </c>
      <c r="B231" s="452" t="s">
        <v>263</v>
      </c>
      <c r="C231" s="464" t="s">
        <v>37</v>
      </c>
      <c r="D231" s="507">
        <f>D230*波及効果シート!$D$72</f>
        <v>0</v>
      </c>
      <c r="E231" s="507">
        <f>E230*波及効果シート!$D$72</f>
        <v>67798.30028438213</v>
      </c>
      <c r="F231" s="507">
        <f>F230*波及効果シート!$D$72</f>
        <v>67798.30028438213</v>
      </c>
      <c r="G231" s="507">
        <f>G230*波及効果シート!$D$72</f>
        <v>67798.30028438213</v>
      </c>
      <c r="H231" s="507">
        <f>H230*波及効果シート!$D$72</f>
        <v>67798.30028438213</v>
      </c>
      <c r="I231" s="507">
        <f>I230*波及効果シート!$D$72</f>
        <v>67798.30028438213</v>
      </c>
      <c r="J231" s="507">
        <f>J230*波及効果シート!$D$72</f>
        <v>67798.30028438213</v>
      </c>
      <c r="K231" s="507">
        <f>K230*波及効果シート!$D$72</f>
        <v>67798.30028438213</v>
      </c>
      <c r="L231" s="507">
        <f>L230*波及効果シート!$D$72</f>
        <v>67798.30028438213</v>
      </c>
      <c r="M231" s="507">
        <f>M230*波及効果シート!$D$72</f>
        <v>67798.30028438213</v>
      </c>
      <c r="N231" s="507">
        <f>N230*波及効果シート!$D$72</f>
        <v>67798.30028438213</v>
      </c>
      <c r="O231" s="507">
        <f>O230*波及効果シート!$D$72</f>
        <v>67798.30028438213</v>
      </c>
      <c r="P231" s="507">
        <f>P230*波及効果シート!$D$72</f>
        <v>67798.30028438213</v>
      </c>
      <c r="Q231" s="507">
        <f>Q230*波及効果シート!$D$72</f>
        <v>67798.30028438213</v>
      </c>
      <c r="R231" s="507">
        <f>R230*波及効果シート!$D$72</f>
        <v>67798.30028438213</v>
      </c>
      <c r="S231" s="507">
        <f>S230*波及効果シート!$D$72</f>
        <v>67798.30028438213</v>
      </c>
      <c r="T231" s="507">
        <f>T230*波及効果シート!$D$72</f>
        <v>67798.30028438213</v>
      </c>
      <c r="U231" s="507">
        <f>U230*波及効果シート!$D$72</f>
        <v>67798.30028438213</v>
      </c>
      <c r="V231" s="507">
        <f>V230*波及効果シート!$D$72</f>
        <v>67798.30028438213</v>
      </c>
      <c r="W231" s="507">
        <f>W230*波及効果シート!$D$72</f>
        <v>67798.30028438213</v>
      </c>
      <c r="X231" s="507">
        <f>X230*波及効果シート!$D$72</f>
        <v>67798.30028438213</v>
      </c>
      <c r="Y231" s="507">
        <f>Y230*波及効果シート!$D$72</f>
        <v>67798.30028438213</v>
      </c>
      <c r="Z231" s="507">
        <f>Z230*波及効果シート!$D$72</f>
        <v>67798.30028438213</v>
      </c>
      <c r="AA231" s="507">
        <f>AA230*波及効果シート!$D$72</f>
        <v>67798.30028438213</v>
      </c>
      <c r="AB231" s="507">
        <f>AB230*波及効果シート!$D$72</f>
        <v>67798.30028438213</v>
      </c>
      <c r="AC231" s="507">
        <f>AC230*波及効果シート!$D$72</f>
        <v>67798.30028438213</v>
      </c>
      <c r="AD231" s="507">
        <f>AD230*波及効果シート!$D$72</f>
        <v>67798.30028438213</v>
      </c>
      <c r="AE231" s="507">
        <f>AE230*波及効果シート!$D$72</f>
        <v>67798.30028438213</v>
      </c>
      <c r="AF231" s="507">
        <f>AF230*波及効果シート!$D$72</f>
        <v>67798.30028438213</v>
      </c>
      <c r="AG231" s="507">
        <f>AG230*波及効果シート!$D$72</f>
        <v>67798.30028438213</v>
      </c>
      <c r="AH231" s="507">
        <f>AH230*波及効果シート!$D$72</f>
        <v>67798.30028438213</v>
      </c>
      <c r="AI231" s="548">
        <f t="shared" si="140"/>
        <v>677983.00284382142</v>
      </c>
      <c r="AJ231" s="548">
        <f t="shared" si="141"/>
        <v>1355966.0056876433</v>
      </c>
      <c r="AK231" s="510">
        <f t="shared" si="142"/>
        <v>2033949.0085314652</v>
      </c>
    </row>
    <row r="232" spans="1:37" ht="11.5" x14ac:dyDescent="0.25">
      <c r="A232" s="546" t="str">
        <f>A229&amp;B232</f>
        <v>電気業消費税（市町村）</v>
      </c>
      <c r="B232" s="452" t="s">
        <v>1048</v>
      </c>
      <c r="C232" s="465" t="s">
        <v>37</v>
      </c>
      <c r="D232" s="507">
        <f>D230*波及効果シート!$D$74</f>
        <v>0</v>
      </c>
      <c r="E232" s="507">
        <f>E230*波及効果シート!$D$74</f>
        <v>67798.30028438213</v>
      </c>
      <c r="F232" s="507">
        <f>F230*波及効果シート!$D$74</f>
        <v>67798.30028438213</v>
      </c>
      <c r="G232" s="507">
        <f>G230*波及効果シート!$D$74</f>
        <v>67798.30028438213</v>
      </c>
      <c r="H232" s="507">
        <f>H230*波及効果シート!$D$74</f>
        <v>67798.30028438213</v>
      </c>
      <c r="I232" s="507">
        <f>I230*波及効果シート!$D$74</f>
        <v>67798.30028438213</v>
      </c>
      <c r="J232" s="507">
        <f>J230*波及効果シート!$D$74</f>
        <v>67798.30028438213</v>
      </c>
      <c r="K232" s="507">
        <f>K230*波及効果シート!$D$74</f>
        <v>67798.30028438213</v>
      </c>
      <c r="L232" s="507">
        <f>L230*波及効果シート!$D$74</f>
        <v>67798.30028438213</v>
      </c>
      <c r="M232" s="507">
        <f>M230*波及効果シート!$D$74</f>
        <v>67798.30028438213</v>
      </c>
      <c r="N232" s="507">
        <f>N230*波及効果シート!$D$74</f>
        <v>67798.30028438213</v>
      </c>
      <c r="O232" s="507">
        <f>O230*波及効果シート!$D$74</f>
        <v>67798.30028438213</v>
      </c>
      <c r="P232" s="507">
        <f>P230*波及効果シート!$D$74</f>
        <v>67798.30028438213</v>
      </c>
      <c r="Q232" s="507">
        <f>Q230*波及効果シート!$D$74</f>
        <v>67798.30028438213</v>
      </c>
      <c r="R232" s="507">
        <f>R230*波及効果シート!$D$74</f>
        <v>67798.30028438213</v>
      </c>
      <c r="S232" s="507">
        <f>S230*波及効果シート!$D$74</f>
        <v>67798.30028438213</v>
      </c>
      <c r="T232" s="507">
        <f>T230*波及効果シート!$D$74</f>
        <v>67798.30028438213</v>
      </c>
      <c r="U232" s="507">
        <f>U230*波及効果シート!$D$74</f>
        <v>67798.30028438213</v>
      </c>
      <c r="V232" s="507">
        <f>V230*波及効果シート!$D$74</f>
        <v>67798.30028438213</v>
      </c>
      <c r="W232" s="507">
        <f>W230*波及効果シート!$D$74</f>
        <v>67798.30028438213</v>
      </c>
      <c r="X232" s="507">
        <f>X230*波及効果シート!$D$74</f>
        <v>67798.30028438213</v>
      </c>
      <c r="Y232" s="507">
        <f>Y230*波及効果シート!$D$74</f>
        <v>67798.30028438213</v>
      </c>
      <c r="Z232" s="507">
        <f>Z230*波及効果シート!$D$74</f>
        <v>67798.30028438213</v>
      </c>
      <c r="AA232" s="507">
        <f>AA230*波及効果シート!$D$74</f>
        <v>67798.30028438213</v>
      </c>
      <c r="AB232" s="507">
        <f>AB230*波及効果シート!$D$74</f>
        <v>67798.30028438213</v>
      </c>
      <c r="AC232" s="507">
        <f>AC230*波及効果シート!$D$74</f>
        <v>67798.30028438213</v>
      </c>
      <c r="AD232" s="507">
        <f>AD230*波及効果シート!$D$74</f>
        <v>67798.30028438213</v>
      </c>
      <c r="AE232" s="507">
        <f>AE230*波及効果シート!$D$74</f>
        <v>67798.30028438213</v>
      </c>
      <c r="AF232" s="507">
        <f>AF230*波及効果シート!$D$74</f>
        <v>67798.30028438213</v>
      </c>
      <c r="AG232" s="507">
        <f>AG230*波及効果シート!$D$74</f>
        <v>67798.30028438213</v>
      </c>
      <c r="AH232" s="507">
        <f>AH230*波及効果シート!$D$74</f>
        <v>67798.30028438213</v>
      </c>
      <c r="AI232" s="548">
        <f t="shared" si="140"/>
        <v>677983.00284382142</v>
      </c>
      <c r="AJ232" s="548">
        <f t="shared" si="141"/>
        <v>1355966.0056876433</v>
      </c>
      <c r="AK232" s="510">
        <f t="shared" si="142"/>
        <v>2033949.0085314652</v>
      </c>
    </row>
    <row r="233" spans="1:37" ht="11.5" x14ac:dyDescent="0.25">
      <c r="A233" s="546" t="str">
        <f>A229&amp;B233</f>
        <v>電気業所得税（国税）</v>
      </c>
      <c r="B233" s="452" t="s">
        <v>356</v>
      </c>
      <c r="C233" s="465" t="s">
        <v>37</v>
      </c>
      <c r="D233" s="507">
        <f>D230*地域経済性分析・初期条件!$P$45</f>
        <v>0</v>
      </c>
      <c r="E233" s="507">
        <f>E230*地域経済性分析・初期条件!$P$45</f>
        <v>0</v>
      </c>
      <c r="F233" s="507">
        <f>F230*地域経済性分析・初期条件!$P$45</f>
        <v>0</v>
      </c>
      <c r="G233" s="507">
        <f>G230*地域経済性分析・初期条件!$P$45</f>
        <v>0</v>
      </c>
      <c r="H233" s="507">
        <f>H230*地域経済性分析・初期条件!$P$45</f>
        <v>0</v>
      </c>
      <c r="I233" s="507">
        <f>I230*地域経済性分析・初期条件!$P$45</f>
        <v>0</v>
      </c>
      <c r="J233" s="507">
        <f>J230*地域経済性分析・初期条件!$P$45</f>
        <v>0</v>
      </c>
      <c r="K233" s="507">
        <f>K230*地域経済性分析・初期条件!$P$45</f>
        <v>0</v>
      </c>
      <c r="L233" s="507">
        <f>L230*地域経済性分析・初期条件!$P$45</f>
        <v>0</v>
      </c>
      <c r="M233" s="507">
        <f>M230*地域経済性分析・初期条件!$P$45</f>
        <v>0</v>
      </c>
      <c r="N233" s="507">
        <f>N230*地域経済性分析・初期条件!$P$45</f>
        <v>0</v>
      </c>
      <c r="O233" s="507">
        <f>O230*地域経済性分析・初期条件!$P$45</f>
        <v>0</v>
      </c>
      <c r="P233" s="507">
        <f>P230*地域経済性分析・初期条件!$P$45</f>
        <v>0</v>
      </c>
      <c r="Q233" s="507">
        <f>Q230*地域経済性分析・初期条件!$P$45</f>
        <v>0</v>
      </c>
      <c r="R233" s="507">
        <f>R230*地域経済性分析・初期条件!$P$45</f>
        <v>0</v>
      </c>
      <c r="S233" s="507">
        <f>S230*地域経済性分析・初期条件!$P$45</f>
        <v>0</v>
      </c>
      <c r="T233" s="507">
        <f>T230*地域経済性分析・初期条件!$P$45</f>
        <v>0</v>
      </c>
      <c r="U233" s="507">
        <f>U230*地域経済性分析・初期条件!$P$45</f>
        <v>0</v>
      </c>
      <c r="V233" s="507">
        <f>V230*地域経済性分析・初期条件!$P$45</f>
        <v>0</v>
      </c>
      <c r="W233" s="507">
        <f>W230*地域経済性分析・初期条件!$P$45</f>
        <v>0</v>
      </c>
      <c r="X233" s="507">
        <f>X230*地域経済性分析・初期条件!$P$45</f>
        <v>0</v>
      </c>
      <c r="Y233" s="507">
        <f>Y230*地域経済性分析・初期条件!$P$45</f>
        <v>0</v>
      </c>
      <c r="Z233" s="507">
        <f>Z230*地域経済性分析・初期条件!$P$45</f>
        <v>0</v>
      </c>
      <c r="AA233" s="507">
        <f>AA230*地域経済性分析・初期条件!$P$45</f>
        <v>0</v>
      </c>
      <c r="AB233" s="507">
        <f>AB230*地域経済性分析・初期条件!$P$45</f>
        <v>0</v>
      </c>
      <c r="AC233" s="507">
        <f>AC230*地域経済性分析・初期条件!$P$45</f>
        <v>0</v>
      </c>
      <c r="AD233" s="507">
        <f>AD230*地域経済性分析・初期条件!$P$45</f>
        <v>0</v>
      </c>
      <c r="AE233" s="507">
        <f>AE230*地域経済性分析・初期条件!$P$45</f>
        <v>0</v>
      </c>
      <c r="AF233" s="507">
        <f>AF230*地域経済性分析・初期条件!$P$45</f>
        <v>0</v>
      </c>
      <c r="AG233" s="507">
        <f>AG230*地域経済性分析・初期条件!$P$45</f>
        <v>0</v>
      </c>
      <c r="AH233" s="507">
        <f>AH230*地域経済性分析・初期条件!$P$45</f>
        <v>0</v>
      </c>
      <c r="AI233" s="548">
        <f t="shared" si="140"/>
        <v>0</v>
      </c>
      <c r="AJ233" s="548">
        <f t="shared" si="141"/>
        <v>0</v>
      </c>
      <c r="AK233" s="510">
        <f t="shared" si="142"/>
        <v>0</v>
      </c>
    </row>
    <row r="234" spans="1:37" ht="11.5" x14ac:dyDescent="0.25">
      <c r="A234" s="546" t="str">
        <f>A229&amp;B234</f>
        <v>電気業法人税（国税）</v>
      </c>
      <c r="B234" s="452" t="s">
        <v>355</v>
      </c>
      <c r="C234" s="465" t="s">
        <v>37</v>
      </c>
      <c r="D234" s="507">
        <f>D230*地域経済性分析・初期条件!$Q$45</f>
        <v>0</v>
      </c>
      <c r="E234" s="507">
        <f>E230*地域経済性分析・初期条件!$Q$45</f>
        <v>0</v>
      </c>
      <c r="F234" s="507">
        <f>F230*地域経済性分析・初期条件!$Q$45</f>
        <v>0</v>
      </c>
      <c r="G234" s="507">
        <f>G230*地域経済性分析・初期条件!$Q$45</f>
        <v>0</v>
      </c>
      <c r="H234" s="507">
        <f>H230*地域経済性分析・初期条件!$Q$45</f>
        <v>0</v>
      </c>
      <c r="I234" s="507">
        <f>I230*地域経済性分析・初期条件!$Q$45</f>
        <v>0</v>
      </c>
      <c r="J234" s="507">
        <f>J230*地域経済性分析・初期条件!$Q$45</f>
        <v>0</v>
      </c>
      <c r="K234" s="507">
        <f>K230*地域経済性分析・初期条件!$Q$45</f>
        <v>0</v>
      </c>
      <c r="L234" s="507">
        <f>L230*地域経済性分析・初期条件!$Q$45</f>
        <v>0</v>
      </c>
      <c r="M234" s="507">
        <f>M230*地域経済性分析・初期条件!$Q$45</f>
        <v>0</v>
      </c>
      <c r="N234" s="507">
        <f>N230*地域経済性分析・初期条件!$Q$45</f>
        <v>0</v>
      </c>
      <c r="O234" s="507">
        <f>O230*地域経済性分析・初期条件!$Q$45</f>
        <v>0</v>
      </c>
      <c r="P234" s="507">
        <f>P230*地域経済性分析・初期条件!$Q$45</f>
        <v>0</v>
      </c>
      <c r="Q234" s="507">
        <f>Q230*地域経済性分析・初期条件!$Q$45</f>
        <v>0</v>
      </c>
      <c r="R234" s="507">
        <f>R230*地域経済性分析・初期条件!$Q$45</f>
        <v>0</v>
      </c>
      <c r="S234" s="507">
        <f>S230*地域経済性分析・初期条件!$Q$45</f>
        <v>0</v>
      </c>
      <c r="T234" s="507">
        <f>T230*地域経済性分析・初期条件!$Q$45</f>
        <v>0</v>
      </c>
      <c r="U234" s="507">
        <f>U230*地域経済性分析・初期条件!$Q$45</f>
        <v>0</v>
      </c>
      <c r="V234" s="507">
        <f>V230*地域経済性分析・初期条件!$Q$45</f>
        <v>0</v>
      </c>
      <c r="W234" s="507">
        <f>W230*地域経済性分析・初期条件!$Q$45</f>
        <v>0</v>
      </c>
      <c r="X234" s="507">
        <f>X230*地域経済性分析・初期条件!$Q$45</f>
        <v>0</v>
      </c>
      <c r="Y234" s="507">
        <f>Y230*地域経済性分析・初期条件!$Q$45</f>
        <v>0</v>
      </c>
      <c r="Z234" s="507">
        <f>Z230*地域経済性分析・初期条件!$Q$45</f>
        <v>0</v>
      </c>
      <c r="AA234" s="507">
        <f>AA230*地域経済性分析・初期条件!$Q$45</f>
        <v>0</v>
      </c>
      <c r="AB234" s="507">
        <f>AB230*地域経済性分析・初期条件!$Q$45</f>
        <v>0</v>
      </c>
      <c r="AC234" s="507">
        <f>AC230*地域経済性分析・初期条件!$Q$45</f>
        <v>0</v>
      </c>
      <c r="AD234" s="507">
        <f>AD230*地域経済性分析・初期条件!$Q$45</f>
        <v>0</v>
      </c>
      <c r="AE234" s="507">
        <f>AE230*地域経済性分析・初期条件!$Q$45</f>
        <v>0</v>
      </c>
      <c r="AF234" s="507">
        <f>AF230*地域経済性分析・初期条件!$Q$45</f>
        <v>0</v>
      </c>
      <c r="AG234" s="507">
        <f>AG230*地域経済性分析・初期条件!$Q$45</f>
        <v>0</v>
      </c>
      <c r="AH234" s="507">
        <f>AH230*地域経済性分析・初期条件!$Q$45</f>
        <v>0</v>
      </c>
      <c r="AI234" s="548">
        <f t="shared" si="140"/>
        <v>0</v>
      </c>
      <c r="AJ234" s="548">
        <f t="shared" si="141"/>
        <v>0</v>
      </c>
      <c r="AK234" s="510">
        <f t="shared" si="142"/>
        <v>0</v>
      </c>
    </row>
    <row r="235" spans="1:37" ht="11.5" x14ac:dyDescent="0.25">
      <c r="A235" s="546" t="str">
        <f>A229&amp;B235</f>
        <v>電気業従業員の可処分所得（一次）</v>
      </c>
      <c r="B235" s="452" t="s">
        <v>339</v>
      </c>
      <c r="C235" s="464" t="s">
        <v>37</v>
      </c>
      <c r="D235" s="507">
        <f>D230*地域経済性分析・初期条件!$H$45</f>
        <v>0</v>
      </c>
      <c r="E235" s="507">
        <f>E230*地域経済性分析・初期条件!$H$45</f>
        <v>180799.80501942083</v>
      </c>
      <c r="F235" s="507">
        <f>F230*地域経済性分析・初期条件!$H$45</f>
        <v>180799.80501942083</v>
      </c>
      <c r="G235" s="507">
        <f>G230*地域経済性分析・初期条件!$H$45</f>
        <v>180799.80501942083</v>
      </c>
      <c r="H235" s="507">
        <f>H230*地域経済性分析・初期条件!$H$45</f>
        <v>180799.80501942083</v>
      </c>
      <c r="I235" s="507">
        <f>I230*地域経済性分析・初期条件!$H$45</f>
        <v>180799.80501942083</v>
      </c>
      <c r="J235" s="507">
        <f>J230*地域経済性分析・初期条件!$H$45</f>
        <v>180799.80501942083</v>
      </c>
      <c r="K235" s="507">
        <f>K230*地域経済性分析・初期条件!$H$45</f>
        <v>180799.80501942083</v>
      </c>
      <c r="L235" s="507">
        <f>L230*地域経済性分析・初期条件!$H$45</f>
        <v>180799.80501942083</v>
      </c>
      <c r="M235" s="507">
        <f>M230*地域経済性分析・初期条件!$H$45</f>
        <v>180799.80501942083</v>
      </c>
      <c r="N235" s="507">
        <f>N230*地域経済性分析・初期条件!$H$45</f>
        <v>180799.80501942083</v>
      </c>
      <c r="O235" s="507">
        <f>O230*地域経済性分析・初期条件!$H$45</f>
        <v>180799.80501942083</v>
      </c>
      <c r="P235" s="507">
        <f>P230*地域経済性分析・初期条件!$H$45</f>
        <v>180799.80501942083</v>
      </c>
      <c r="Q235" s="507">
        <f>Q230*地域経済性分析・初期条件!$H$45</f>
        <v>180799.80501942083</v>
      </c>
      <c r="R235" s="507">
        <f>R230*地域経済性分析・初期条件!$H$45</f>
        <v>180799.80501942083</v>
      </c>
      <c r="S235" s="507">
        <f>S230*地域経済性分析・初期条件!$H$45</f>
        <v>180799.80501942083</v>
      </c>
      <c r="T235" s="507">
        <f>T230*地域経済性分析・初期条件!$H$45</f>
        <v>180799.80501942083</v>
      </c>
      <c r="U235" s="507">
        <f>U230*地域経済性分析・初期条件!$H$45</f>
        <v>180799.80501942083</v>
      </c>
      <c r="V235" s="507">
        <f>V230*地域経済性分析・初期条件!$H$45</f>
        <v>180799.80501942083</v>
      </c>
      <c r="W235" s="507">
        <f>W230*地域経済性分析・初期条件!$H$45</f>
        <v>180799.80501942083</v>
      </c>
      <c r="X235" s="507">
        <f>X230*地域経済性分析・初期条件!$H$45</f>
        <v>180799.80501942083</v>
      </c>
      <c r="Y235" s="507">
        <f>Y230*地域経済性分析・初期条件!$H$45</f>
        <v>180799.80501942083</v>
      </c>
      <c r="Z235" s="507">
        <f>Z230*地域経済性分析・初期条件!$H$45</f>
        <v>180799.80501942083</v>
      </c>
      <c r="AA235" s="507">
        <f>AA230*地域経済性分析・初期条件!$H$45</f>
        <v>180799.80501942083</v>
      </c>
      <c r="AB235" s="507">
        <f>AB230*地域経済性分析・初期条件!$H$45</f>
        <v>180799.80501942083</v>
      </c>
      <c r="AC235" s="507">
        <f>AC230*地域経済性分析・初期条件!$H$45</f>
        <v>180799.80501942083</v>
      </c>
      <c r="AD235" s="507">
        <f>AD230*地域経済性分析・初期条件!$H$45</f>
        <v>180799.80501942083</v>
      </c>
      <c r="AE235" s="507">
        <f>AE230*地域経済性分析・初期条件!$H$45</f>
        <v>180799.80501942083</v>
      </c>
      <c r="AF235" s="507">
        <f>AF230*地域経済性分析・初期条件!$H$45</f>
        <v>180799.80501942083</v>
      </c>
      <c r="AG235" s="507">
        <f>AG230*地域経済性分析・初期条件!$H$45</f>
        <v>180799.80501942083</v>
      </c>
      <c r="AH235" s="507">
        <f>AH230*地域経済性分析・初期条件!$H$45</f>
        <v>180799.80501942083</v>
      </c>
      <c r="AI235" s="548">
        <f t="shared" si="140"/>
        <v>1807998.0501942083</v>
      </c>
      <c r="AJ235" s="548">
        <f t="shared" si="141"/>
        <v>3615996.1003884184</v>
      </c>
      <c r="AK235" s="510">
        <f t="shared" si="142"/>
        <v>5423994.1505826255</v>
      </c>
    </row>
    <row r="236" spans="1:37" ht="11.5" x14ac:dyDescent="0.25">
      <c r="A236" s="546" t="str">
        <f>A229&amp;B236</f>
        <v>電気業企業の税引後利益（一次）</v>
      </c>
      <c r="B236" s="452" t="s">
        <v>340</v>
      </c>
      <c r="C236" s="464" t="s">
        <v>37</v>
      </c>
      <c r="D236" s="507">
        <f>D230*地域経済性分析・初期条件!$I$45</f>
        <v>0</v>
      </c>
      <c r="E236" s="507">
        <f>E230*地域経済性分析・初期条件!$I$45</f>
        <v>167597.44826011584</v>
      </c>
      <c r="F236" s="507">
        <f>F230*地域経済性分析・初期条件!$I$45</f>
        <v>167597.44826011584</v>
      </c>
      <c r="G236" s="507">
        <f>G230*地域経済性分析・初期条件!$I$45</f>
        <v>167597.44826011584</v>
      </c>
      <c r="H236" s="507">
        <f>H230*地域経済性分析・初期条件!$I$45</f>
        <v>167597.44826011584</v>
      </c>
      <c r="I236" s="507">
        <f>I230*地域経済性分析・初期条件!$I$45</f>
        <v>167597.44826011584</v>
      </c>
      <c r="J236" s="507">
        <f>J230*地域経済性分析・初期条件!$I$45</f>
        <v>167597.44826011584</v>
      </c>
      <c r="K236" s="507">
        <f>K230*地域経済性分析・初期条件!$I$45</f>
        <v>167597.44826011584</v>
      </c>
      <c r="L236" s="507">
        <f>L230*地域経済性分析・初期条件!$I$45</f>
        <v>167597.44826011584</v>
      </c>
      <c r="M236" s="507">
        <f>M230*地域経済性分析・初期条件!$I$45</f>
        <v>167597.44826011584</v>
      </c>
      <c r="N236" s="507">
        <f>N230*地域経済性分析・初期条件!$I$45</f>
        <v>167597.44826011584</v>
      </c>
      <c r="O236" s="507">
        <f>O230*地域経済性分析・初期条件!$I$45</f>
        <v>167597.44826011584</v>
      </c>
      <c r="P236" s="507">
        <f>P230*地域経済性分析・初期条件!$I$45</f>
        <v>167597.44826011584</v>
      </c>
      <c r="Q236" s="507">
        <f>Q230*地域経済性分析・初期条件!$I$45</f>
        <v>167597.44826011584</v>
      </c>
      <c r="R236" s="507">
        <f>R230*地域経済性分析・初期条件!$I$45</f>
        <v>167597.44826011584</v>
      </c>
      <c r="S236" s="507">
        <f>S230*地域経済性分析・初期条件!$I$45</f>
        <v>167597.44826011584</v>
      </c>
      <c r="T236" s="507">
        <f>T230*地域経済性分析・初期条件!$I$45</f>
        <v>167597.44826011584</v>
      </c>
      <c r="U236" s="507">
        <f>U230*地域経済性分析・初期条件!$I$45</f>
        <v>167597.44826011584</v>
      </c>
      <c r="V236" s="507">
        <f>V230*地域経済性分析・初期条件!$I$45</f>
        <v>167597.44826011584</v>
      </c>
      <c r="W236" s="507">
        <f>W230*地域経済性分析・初期条件!$I$45</f>
        <v>167597.44826011584</v>
      </c>
      <c r="X236" s="507">
        <f>X230*地域経済性分析・初期条件!$I$45</f>
        <v>167597.44826011584</v>
      </c>
      <c r="Y236" s="507">
        <f>Y230*地域経済性分析・初期条件!$I$45</f>
        <v>167597.44826011584</v>
      </c>
      <c r="Z236" s="507">
        <f>Z230*地域経済性分析・初期条件!$I$45</f>
        <v>167597.44826011584</v>
      </c>
      <c r="AA236" s="507">
        <f>AA230*地域経済性分析・初期条件!$I$45</f>
        <v>167597.44826011584</v>
      </c>
      <c r="AB236" s="507">
        <f>AB230*地域経済性分析・初期条件!$I$45</f>
        <v>167597.44826011584</v>
      </c>
      <c r="AC236" s="507">
        <f>AC230*地域経済性分析・初期条件!$I$45</f>
        <v>167597.44826011584</v>
      </c>
      <c r="AD236" s="507">
        <f>AD230*地域経済性分析・初期条件!$I$45</f>
        <v>167597.44826011584</v>
      </c>
      <c r="AE236" s="507">
        <f>AE230*地域経済性分析・初期条件!$I$45</f>
        <v>167597.44826011584</v>
      </c>
      <c r="AF236" s="507">
        <f>AF230*地域経済性分析・初期条件!$I$45</f>
        <v>167597.44826011584</v>
      </c>
      <c r="AG236" s="507">
        <f>AG230*地域経済性分析・初期条件!$I$45</f>
        <v>167597.44826011584</v>
      </c>
      <c r="AH236" s="507">
        <f>AH230*地域経済性分析・初期条件!$I$45</f>
        <v>167597.44826011584</v>
      </c>
      <c r="AI236" s="548">
        <f t="shared" si="140"/>
        <v>1675974.4826011586</v>
      </c>
      <c r="AJ236" s="548">
        <f t="shared" si="141"/>
        <v>3351948.9652023176</v>
      </c>
      <c r="AK236" s="510">
        <f t="shared" si="142"/>
        <v>5027923.447803475</v>
      </c>
    </row>
    <row r="237" spans="1:37" ht="11.5" x14ac:dyDescent="0.25">
      <c r="A237" s="546" t="str">
        <f>A229&amp;B237</f>
        <v>電気業都道府県税収（一次）</v>
      </c>
      <c r="B237" s="452" t="s">
        <v>341</v>
      </c>
      <c r="C237" s="464" t="s">
        <v>37</v>
      </c>
      <c r="D237" s="507">
        <f>D230*地域経済性分析・初期条件!$J$45</f>
        <v>0</v>
      </c>
      <c r="E237" s="507">
        <f>E230*地域経済性分析・初期条件!$J$45</f>
        <v>38014.776340576129</v>
      </c>
      <c r="F237" s="507">
        <f>F230*地域経済性分析・初期条件!$J$45</f>
        <v>38014.776340576129</v>
      </c>
      <c r="G237" s="507">
        <f>G230*地域経済性分析・初期条件!$J$45</f>
        <v>38014.776340576129</v>
      </c>
      <c r="H237" s="507">
        <f>H230*地域経済性分析・初期条件!$J$45</f>
        <v>38014.776340576129</v>
      </c>
      <c r="I237" s="507">
        <f>I230*地域経済性分析・初期条件!$J$45</f>
        <v>38014.776340576129</v>
      </c>
      <c r="J237" s="507">
        <f>J230*地域経済性分析・初期条件!$J$45</f>
        <v>38014.776340576129</v>
      </c>
      <c r="K237" s="507">
        <f>K230*地域経済性分析・初期条件!$J$45</f>
        <v>38014.776340576129</v>
      </c>
      <c r="L237" s="507">
        <f>L230*地域経済性分析・初期条件!$J$45</f>
        <v>38014.776340576129</v>
      </c>
      <c r="M237" s="507">
        <f>M230*地域経済性分析・初期条件!$J$45</f>
        <v>38014.776340576129</v>
      </c>
      <c r="N237" s="507">
        <f>N230*地域経済性分析・初期条件!$J$45</f>
        <v>38014.776340576129</v>
      </c>
      <c r="O237" s="507">
        <f>O230*地域経済性分析・初期条件!$J$45</f>
        <v>38014.776340576129</v>
      </c>
      <c r="P237" s="507">
        <f>P230*地域経済性分析・初期条件!$J$45</f>
        <v>38014.776340576129</v>
      </c>
      <c r="Q237" s="507">
        <f>Q230*地域経済性分析・初期条件!$J$45</f>
        <v>38014.776340576129</v>
      </c>
      <c r="R237" s="507">
        <f>R230*地域経済性分析・初期条件!$J$45</f>
        <v>38014.776340576129</v>
      </c>
      <c r="S237" s="507">
        <f>S230*地域経済性分析・初期条件!$J$45</f>
        <v>38014.776340576129</v>
      </c>
      <c r="T237" s="507">
        <f>T230*地域経済性分析・初期条件!$J$45</f>
        <v>38014.776340576129</v>
      </c>
      <c r="U237" s="507">
        <f>U230*地域経済性分析・初期条件!$J$45</f>
        <v>38014.776340576129</v>
      </c>
      <c r="V237" s="507">
        <f>V230*地域経済性分析・初期条件!$J$45</f>
        <v>38014.776340576129</v>
      </c>
      <c r="W237" s="507">
        <f>W230*地域経済性分析・初期条件!$J$45</f>
        <v>38014.776340576129</v>
      </c>
      <c r="X237" s="507">
        <f>X230*地域経済性分析・初期条件!$J$45</f>
        <v>38014.776340576129</v>
      </c>
      <c r="Y237" s="507">
        <f>Y230*地域経済性分析・初期条件!$J$45</f>
        <v>38014.776340576129</v>
      </c>
      <c r="Z237" s="507">
        <f>Z230*地域経済性分析・初期条件!$J$45</f>
        <v>38014.776340576129</v>
      </c>
      <c r="AA237" s="507">
        <f>AA230*地域経済性分析・初期条件!$J$45</f>
        <v>38014.776340576129</v>
      </c>
      <c r="AB237" s="507">
        <f>AB230*地域経済性分析・初期条件!$J$45</f>
        <v>38014.776340576129</v>
      </c>
      <c r="AC237" s="507">
        <f>AC230*地域経済性分析・初期条件!$J$45</f>
        <v>38014.776340576129</v>
      </c>
      <c r="AD237" s="507">
        <f>AD230*地域経済性分析・初期条件!$J$45</f>
        <v>38014.776340576129</v>
      </c>
      <c r="AE237" s="507">
        <f>AE230*地域経済性分析・初期条件!$J$45</f>
        <v>38014.776340576129</v>
      </c>
      <c r="AF237" s="507">
        <f>AF230*地域経済性分析・初期条件!$J$45</f>
        <v>38014.776340576129</v>
      </c>
      <c r="AG237" s="507">
        <f>AG230*地域経済性分析・初期条件!$J$45</f>
        <v>38014.776340576129</v>
      </c>
      <c r="AH237" s="507">
        <f>AH230*地域経済性分析・初期条件!$J$45</f>
        <v>38014.776340576129</v>
      </c>
      <c r="AI237" s="548">
        <f t="shared" si="140"/>
        <v>380147.76340576127</v>
      </c>
      <c r="AJ237" s="548">
        <f t="shared" si="141"/>
        <v>760295.52681152255</v>
      </c>
      <c r="AK237" s="510">
        <f t="shared" si="142"/>
        <v>1140443.2902172839</v>
      </c>
    </row>
    <row r="238" spans="1:37" ht="11.5" x14ac:dyDescent="0.25">
      <c r="A238" s="546" t="str">
        <f>A229&amp;B238</f>
        <v>電気業市町村税収（一次）</v>
      </c>
      <c r="B238" s="452" t="s">
        <v>342</v>
      </c>
      <c r="C238" s="465" t="s">
        <v>37</v>
      </c>
      <c r="D238" s="507">
        <f>D230*地域経済性分析・初期条件!$K$45</f>
        <v>0</v>
      </c>
      <c r="E238" s="507">
        <f>E230*地域経済性分析・初期条件!$K$45</f>
        <v>13225.985022334069</v>
      </c>
      <c r="F238" s="507">
        <f>F230*地域経済性分析・初期条件!$K$45</f>
        <v>13225.985022334069</v>
      </c>
      <c r="G238" s="507">
        <f>G230*地域経済性分析・初期条件!$K$45</f>
        <v>13225.985022334069</v>
      </c>
      <c r="H238" s="507">
        <f>H230*地域経済性分析・初期条件!$K$45</f>
        <v>13225.985022334069</v>
      </c>
      <c r="I238" s="507">
        <f>I230*地域経済性分析・初期条件!$K$45</f>
        <v>13225.985022334069</v>
      </c>
      <c r="J238" s="507">
        <f>J230*地域経済性分析・初期条件!$K$45</f>
        <v>13225.985022334069</v>
      </c>
      <c r="K238" s="507">
        <f>K230*地域経済性分析・初期条件!$K$45</f>
        <v>13225.985022334069</v>
      </c>
      <c r="L238" s="507">
        <f>L230*地域経済性分析・初期条件!$K$45</f>
        <v>13225.985022334069</v>
      </c>
      <c r="M238" s="507">
        <f>M230*地域経済性分析・初期条件!$K$45</f>
        <v>13225.985022334069</v>
      </c>
      <c r="N238" s="507">
        <f>N230*地域経済性分析・初期条件!$K$45</f>
        <v>13225.985022334069</v>
      </c>
      <c r="O238" s="507">
        <f>O230*地域経済性分析・初期条件!$K$45</f>
        <v>13225.985022334069</v>
      </c>
      <c r="P238" s="507">
        <f>P230*地域経済性分析・初期条件!$K$45</f>
        <v>13225.985022334069</v>
      </c>
      <c r="Q238" s="507">
        <f>Q230*地域経済性分析・初期条件!$K$45</f>
        <v>13225.985022334069</v>
      </c>
      <c r="R238" s="507">
        <f>R230*地域経済性分析・初期条件!$K$45</f>
        <v>13225.985022334069</v>
      </c>
      <c r="S238" s="507">
        <f>S230*地域経済性分析・初期条件!$K$45</f>
        <v>13225.985022334069</v>
      </c>
      <c r="T238" s="507">
        <f>T230*地域経済性分析・初期条件!$K$45</f>
        <v>13225.985022334069</v>
      </c>
      <c r="U238" s="507">
        <f>U230*地域経済性分析・初期条件!$K$45</f>
        <v>13225.985022334069</v>
      </c>
      <c r="V238" s="507">
        <f>V230*地域経済性分析・初期条件!$K$45</f>
        <v>13225.985022334069</v>
      </c>
      <c r="W238" s="507">
        <f>W230*地域経済性分析・初期条件!$K$45</f>
        <v>13225.985022334069</v>
      </c>
      <c r="X238" s="507">
        <f>X230*地域経済性分析・初期条件!$K$45</f>
        <v>13225.985022334069</v>
      </c>
      <c r="Y238" s="507">
        <f>Y230*地域経済性分析・初期条件!$K$45</f>
        <v>13225.985022334069</v>
      </c>
      <c r="Z238" s="507">
        <f>Z230*地域経済性分析・初期条件!$K$45</f>
        <v>13225.985022334069</v>
      </c>
      <c r="AA238" s="507">
        <f>AA230*地域経済性分析・初期条件!$K$45</f>
        <v>13225.985022334069</v>
      </c>
      <c r="AB238" s="507">
        <f>AB230*地域経済性分析・初期条件!$K$45</f>
        <v>13225.985022334069</v>
      </c>
      <c r="AC238" s="507">
        <f>AC230*地域経済性分析・初期条件!$K$45</f>
        <v>13225.985022334069</v>
      </c>
      <c r="AD238" s="507">
        <f>AD230*地域経済性分析・初期条件!$K$45</f>
        <v>13225.985022334069</v>
      </c>
      <c r="AE238" s="507">
        <f>AE230*地域経済性分析・初期条件!$K$45</f>
        <v>13225.985022334069</v>
      </c>
      <c r="AF238" s="507">
        <f>AF230*地域経済性分析・初期条件!$K$45</f>
        <v>13225.985022334069</v>
      </c>
      <c r="AG238" s="507">
        <f>AG230*地域経済性分析・初期条件!$K$45</f>
        <v>13225.985022334069</v>
      </c>
      <c r="AH238" s="507">
        <f>AH230*地域経済性分析・初期条件!$K$45</f>
        <v>13225.985022334069</v>
      </c>
      <c r="AI238" s="548">
        <f t="shared" si="140"/>
        <v>132259.85022334065</v>
      </c>
      <c r="AJ238" s="548">
        <f t="shared" si="141"/>
        <v>264519.70044668129</v>
      </c>
      <c r="AK238" s="510">
        <f t="shared" si="142"/>
        <v>396779.5506700222</v>
      </c>
    </row>
    <row r="239" spans="1:37" ht="11.5" x14ac:dyDescent="0.25">
      <c r="A239" s="546" t="str">
        <f>A229&amp;B239</f>
        <v>電気業従業員の可処分所得（二次以降）</v>
      </c>
      <c r="B239" s="452" t="s">
        <v>344</v>
      </c>
      <c r="C239" s="465" t="s">
        <v>37</v>
      </c>
      <c r="D239" s="507">
        <f>D230*地域経済性分析・初期条件!$L$45</f>
        <v>0</v>
      </c>
      <c r="E239" s="507">
        <f>E230*地域経済性分析・初期条件!$L$45</f>
        <v>396854.02274050214</v>
      </c>
      <c r="F239" s="507">
        <f>F230*地域経済性分析・初期条件!$L$45</f>
        <v>396854.02274050214</v>
      </c>
      <c r="G239" s="507">
        <f>G230*地域経済性分析・初期条件!$L$45</f>
        <v>396854.02274050214</v>
      </c>
      <c r="H239" s="507">
        <f>H230*地域経済性分析・初期条件!$L$45</f>
        <v>396854.02274050214</v>
      </c>
      <c r="I239" s="507">
        <f>I230*地域経済性分析・初期条件!$L$45</f>
        <v>396854.02274050214</v>
      </c>
      <c r="J239" s="507">
        <f>J230*地域経済性分析・初期条件!$L$45</f>
        <v>396854.02274050214</v>
      </c>
      <c r="K239" s="507">
        <f>K230*地域経済性分析・初期条件!$L$45</f>
        <v>396854.02274050214</v>
      </c>
      <c r="L239" s="507">
        <f>L230*地域経済性分析・初期条件!$L$45</f>
        <v>396854.02274050214</v>
      </c>
      <c r="M239" s="507">
        <f>M230*地域経済性分析・初期条件!$L$45</f>
        <v>396854.02274050214</v>
      </c>
      <c r="N239" s="507">
        <f>N230*地域経済性分析・初期条件!$L$45</f>
        <v>396854.02274050214</v>
      </c>
      <c r="O239" s="507">
        <f>O230*地域経済性分析・初期条件!$L$45</f>
        <v>396854.02274050214</v>
      </c>
      <c r="P239" s="507">
        <f>P230*地域経済性分析・初期条件!$L$45</f>
        <v>396854.02274050214</v>
      </c>
      <c r="Q239" s="507">
        <f>Q230*地域経済性分析・初期条件!$L$45</f>
        <v>396854.02274050214</v>
      </c>
      <c r="R239" s="507">
        <f>R230*地域経済性分析・初期条件!$L$45</f>
        <v>396854.02274050214</v>
      </c>
      <c r="S239" s="507">
        <f>S230*地域経済性分析・初期条件!$L$45</f>
        <v>396854.02274050214</v>
      </c>
      <c r="T239" s="507">
        <f>T230*地域経済性分析・初期条件!$L$45</f>
        <v>396854.02274050214</v>
      </c>
      <c r="U239" s="507">
        <f>U230*地域経済性分析・初期条件!$L$45</f>
        <v>396854.02274050214</v>
      </c>
      <c r="V239" s="507">
        <f>V230*地域経済性分析・初期条件!$L$45</f>
        <v>396854.02274050214</v>
      </c>
      <c r="W239" s="507">
        <f>W230*地域経済性分析・初期条件!$L$45</f>
        <v>396854.02274050214</v>
      </c>
      <c r="X239" s="507">
        <f>X230*地域経済性分析・初期条件!$L$45</f>
        <v>396854.02274050214</v>
      </c>
      <c r="Y239" s="507">
        <f>Y230*地域経済性分析・初期条件!$L$45</f>
        <v>396854.02274050214</v>
      </c>
      <c r="Z239" s="507">
        <f>Z230*地域経済性分析・初期条件!$L$45</f>
        <v>396854.02274050214</v>
      </c>
      <c r="AA239" s="507">
        <f>AA230*地域経済性分析・初期条件!$L$45</f>
        <v>396854.02274050214</v>
      </c>
      <c r="AB239" s="507">
        <f>AB230*地域経済性分析・初期条件!$L$45</f>
        <v>396854.02274050214</v>
      </c>
      <c r="AC239" s="507">
        <f>AC230*地域経済性分析・初期条件!$L$45</f>
        <v>396854.02274050214</v>
      </c>
      <c r="AD239" s="507">
        <f>AD230*地域経済性分析・初期条件!$L$45</f>
        <v>396854.02274050214</v>
      </c>
      <c r="AE239" s="507">
        <f>AE230*地域経済性分析・初期条件!$L$45</f>
        <v>396854.02274050214</v>
      </c>
      <c r="AF239" s="507">
        <f>AF230*地域経済性分析・初期条件!$L$45</f>
        <v>396854.02274050214</v>
      </c>
      <c r="AG239" s="507">
        <f>AG230*地域経済性分析・初期条件!$L$45</f>
        <v>396854.02274050214</v>
      </c>
      <c r="AH239" s="507">
        <f>AH230*地域経済性分析・初期条件!$L$45</f>
        <v>396854.02274050214</v>
      </c>
      <c r="AI239" s="548">
        <f t="shared" si="140"/>
        <v>3968540.227405021</v>
      </c>
      <c r="AJ239" s="548">
        <f t="shared" si="141"/>
        <v>7937080.4548100401</v>
      </c>
      <c r="AK239" s="510">
        <f t="shared" si="142"/>
        <v>11905620.682215059</v>
      </c>
    </row>
    <row r="240" spans="1:37" ht="11.5" x14ac:dyDescent="0.25">
      <c r="A240" s="546" t="str">
        <f>A229&amp;B240</f>
        <v>電気業企業の税引後利益（二次以降）</v>
      </c>
      <c r="B240" s="452" t="s">
        <v>345</v>
      </c>
      <c r="C240" s="465" t="s">
        <v>37</v>
      </c>
      <c r="D240" s="507">
        <f>D230*地域経済性分析・初期条件!$M$45</f>
        <v>0</v>
      </c>
      <c r="E240" s="507">
        <f>E230*地域経済性分析・初期条件!$M$45</f>
        <v>323276.99456148373</v>
      </c>
      <c r="F240" s="507">
        <f>F230*地域経済性分析・初期条件!$M$45</f>
        <v>323276.99456148373</v>
      </c>
      <c r="G240" s="507">
        <f>G230*地域経済性分析・初期条件!$M$45</f>
        <v>323276.99456148373</v>
      </c>
      <c r="H240" s="507">
        <f>H230*地域経済性分析・初期条件!$M$45</f>
        <v>323276.99456148373</v>
      </c>
      <c r="I240" s="507">
        <f>I230*地域経済性分析・初期条件!$M$45</f>
        <v>323276.99456148373</v>
      </c>
      <c r="J240" s="507">
        <f>J230*地域経済性分析・初期条件!$M$45</f>
        <v>323276.99456148373</v>
      </c>
      <c r="K240" s="507">
        <f>K230*地域経済性分析・初期条件!$M$45</f>
        <v>323276.99456148373</v>
      </c>
      <c r="L240" s="507">
        <f>L230*地域経済性分析・初期条件!$M$45</f>
        <v>323276.99456148373</v>
      </c>
      <c r="M240" s="507">
        <f>M230*地域経済性分析・初期条件!$M$45</f>
        <v>323276.99456148373</v>
      </c>
      <c r="N240" s="507">
        <f>N230*地域経済性分析・初期条件!$M$45</f>
        <v>323276.99456148373</v>
      </c>
      <c r="O240" s="507">
        <f>O230*地域経済性分析・初期条件!$M$45</f>
        <v>323276.99456148373</v>
      </c>
      <c r="P240" s="507">
        <f>P230*地域経済性分析・初期条件!$M$45</f>
        <v>323276.99456148373</v>
      </c>
      <c r="Q240" s="507">
        <f>Q230*地域経済性分析・初期条件!$M$45</f>
        <v>323276.99456148373</v>
      </c>
      <c r="R240" s="507">
        <f>R230*地域経済性分析・初期条件!$M$45</f>
        <v>323276.99456148373</v>
      </c>
      <c r="S240" s="507">
        <f>S230*地域経済性分析・初期条件!$M$45</f>
        <v>323276.99456148373</v>
      </c>
      <c r="T240" s="507">
        <f>T230*地域経済性分析・初期条件!$M$45</f>
        <v>323276.99456148373</v>
      </c>
      <c r="U240" s="507">
        <f>U230*地域経済性分析・初期条件!$M$45</f>
        <v>323276.99456148373</v>
      </c>
      <c r="V240" s="507">
        <f>V230*地域経済性分析・初期条件!$M$45</f>
        <v>323276.99456148373</v>
      </c>
      <c r="W240" s="507">
        <f>W230*地域経済性分析・初期条件!$M$45</f>
        <v>323276.99456148373</v>
      </c>
      <c r="X240" s="507">
        <f>X230*地域経済性分析・初期条件!$M$45</f>
        <v>323276.99456148373</v>
      </c>
      <c r="Y240" s="507">
        <f>Y230*地域経済性分析・初期条件!$M$45</f>
        <v>323276.99456148373</v>
      </c>
      <c r="Z240" s="507">
        <f>Z230*地域経済性分析・初期条件!$M$45</f>
        <v>323276.99456148373</v>
      </c>
      <c r="AA240" s="507">
        <f>AA230*地域経済性分析・初期条件!$M$45</f>
        <v>323276.99456148373</v>
      </c>
      <c r="AB240" s="507">
        <f>AB230*地域経済性分析・初期条件!$M$45</f>
        <v>323276.99456148373</v>
      </c>
      <c r="AC240" s="507">
        <f>AC230*地域経済性分析・初期条件!$M$45</f>
        <v>323276.99456148373</v>
      </c>
      <c r="AD240" s="507">
        <f>AD230*地域経済性分析・初期条件!$M$45</f>
        <v>323276.99456148373</v>
      </c>
      <c r="AE240" s="507">
        <f>AE230*地域経済性分析・初期条件!$M$45</f>
        <v>323276.99456148373</v>
      </c>
      <c r="AF240" s="507">
        <f>AF230*地域経済性分析・初期条件!$M$45</f>
        <v>323276.99456148373</v>
      </c>
      <c r="AG240" s="507">
        <f>AG230*地域経済性分析・初期条件!$M$45</f>
        <v>323276.99456148373</v>
      </c>
      <c r="AH240" s="507">
        <f>AH230*地域経済性分析・初期条件!$M$45</f>
        <v>323276.99456148373</v>
      </c>
      <c r="AI240" s="548">
        <f t="shared" si="140"/>
        <v>3232769.9456148366</v>
      </c>
      <c r="AJ240" s="548">
        <f t="shared" si="141"/>
        <v>6465539.8912296761</v>
      </c>
      <c r="AK240" s="510">
        <f t="shared" si="142"/>
        <v>9698309.8368445169</v>
      </c>
    </row>
    <row r="241" spans="1:37" ht="11.5" x14ac:dyDescent="0.25">
      <c r="A241" s="546" t="str">
        <f>A229&amp;B241</f>
        <v>電気業都道府県税収（二次以降）</v>
      </c>
      <c r="B241" s="452" t="s">
        <v>346</v>
      </c>
      <c r="C241" s="465" t="s">
        <v>37</v>
      </c>
      <c r="D241" s="507">
        <f>D230*地域経済性分析・初期条件!$N$45</f>
        <v>0</v>
      </c>
      <c r="E241" s="507">
        <f>E230*地域経済性分析・初期条件!$N$45</f>
        <v>77554.426441009506</v>
      </c>
      <c r="F241" s="507">
        <f>F230*地域経済性分析・初期条件!$N$45</f>
        <v>77554.426441009506</v>
      </c>
      <c r="G241" s="507">
        <f>G230*地域経済性分析・初期条件!$N$45</f>
        <v>77554.426441009506</v>
      </c>
      <c r="H241" s="507">
        <f>H230*地域経済性分析・初期条件!$N$45</f>
        <v>77554.426441009506</v>
      </c>
      <c r="I241" s="507">
        <f>I230*地域経済性分析・初期条件!$N$45</f>
        <v>77554.426441009506</v>
      </c>
      <c r="J241" s="507">
        <f>J230*地域経済性分析・初期条件!$N$45</f>
        <v>77554.426441009506</v>
      </c>
      <c r="K241" s="507">
        <f>K230*地域経済性分析・初期条件!$N$45</f>
        <v>77554.426441009506</v>
      </c>
      <c r="L241" s="507">
        <f>L230*地域経済性分析・初期条件!$N$45</f>
        <v>77554.426441009506</v>
      </c>
      <c r="M241" s="507">
        <f>M230*地域経済性分析・初期条件!$N$45</f>
        <v>77554.426441009506</v>
      </c>
      <c r="N241" s="507">
        <f>N230*地域経済性分析・初期条件!$N$45</f>
        <v>77554.426441009506</v>
      </c>
      <c r="O241" s="507">
        <f>O230*地域経済性分析・初期条件!$N$45</f>
        <v>77554.426441009506</v>
      </c>
      <c r="P241" s="507">
        <f>P230*地域経済性分析・初期条件!$N$45</f>
        <v>77554.426441009506</v>
      </c>
      <c r="Q241" s="507">
        <f>Q230*地域経済性分析・初期条件!$N$45</f>
        <v>77554.426441009506</v>
      </c>
      <c r="R241" s="507">
        <f>R230*地域経済性分析・初期条件!$N$45</f>
        <v>77554.426441009506</v>
      </c>
      <c r="S241" s="507">
        <f>S230*地域経済性分析・初期条件!$N$45</f>
        <v>77554.426441009506</v>
      </c>
      <c r="T241" s="507">
        <f>T230*地域経済性分析・初期条件!$N$45</f>
        <v>77554.426441009506</v>
      </c>
      <c r="U241" s="507">
        <f>U230*地域経済性分析・初期条件!$N$45</f>
        <v>77554.426441009506</v>
      </c>
      <c r="V241" s="507">
        <f>V230*地域経済性分析・初期条件!$N$45</f>
        <v>77554.426441009506</v>
      </c>
      <c r="W241" s="507">
        <f>W230*地域経済性分析・初期条件!$N$45</f>
        <v>77554.426441009506</v>
      </c>
      <c r="X241" s="507">
        <f>X230*地域経済性分析・初期条件!$N$45</f>
        <v>77554.426441009506</v>
      </c>
      <c r="Y241" s="507">
        <f>Y230*地域経済性分析・初期条件!$N$45</f>
        <v>77554.426441009506</v>
      </c>
      <c r="Z241" s="507">
        <f>Z230*地域経済性分析・初期条件!$N$45</f>
        <v>77554.426441009506</v>
      </c>
      <c r="AA241" s="507">
        <f>AA230*地域経済性分析・初期条件!$N$45</f>
        <v>77554.426441009506</v>
      </c>
      <c r="AB241" s="507">
        <f>AB230*地域経済性分析・初期条件!$N$45</f>
        <v>77554.426441009506</v>
      </c>
      <c r="AC241" s="507">
        <f>AC230*地域経済性分析・初期条件!$N$45</f>
        <v>77554.426441009506</v>
      </c>
      <c r="AD241" s="507">
        <f>AD230*地域経済性分析・初期条件!$N$45</f>
        <v>77554.426441009506</v>
      </c>
      <c r="AE241" s="507">
        <f>AE230*地域経済性分析・初期条件!$N$45</f>
        <v>77554.426441009506</v>
      </c>
      <c r="AF241" s="507">
        <f>AF230*地域経済性分析・初期条件!$N$45</f>
        <v>77554.426441009506</v>
      </c>
      <c r="AG241" s="507">
        <f>AG230*地域経済性分析・初期条件!$N$45</f>
        <v>77554.426441009506</v>
      </c>
      <c r="AH241" s="507">
        <f>AH230*地域経済性分析・初期条件!$N$45</f>
        <v>77554.426441009506</v>
      </c>
      <c r="AI241" s="548">
        <f t="shared" si="140"/>
        <v>775544.26441009506</v>
      </c>
      <c r="AJ241" s="548">
        <f t="shared" si="141"/>
        <v>1551088.5288201906</v>
      </c>
      <c r="AK241" s="510">
        <f t="shared" si="142"/>
        <v>2326632.7932302868</v>
      </c>
    </row>
    <row r="242" spans="1:37" ht="11.5" x14ac:dyDescent="0.25">
      <c r="A242" s="546" t="str">
        <f>A229&amp;B242</f>
        <v>電気業市町村税収（二次以降）</v>
      </c>
      <c r="B242" s="452" t="s">
        <v>347</v>
      </c>
      <c r="C242" s="465" t="s">
        <v>37</v>
      </c>
      <c r="D242" s="507">
        <f>D230*地域経済性分析・初期条件!$O$45</f>
        <v>0</v>
      </c>
      <c r="E242" s="507">
        <f>E230*地域経済性分析・初期条件!$O$45</f>
        <v>28346.732778370442</v>
      </c>
      <c r="F242" s="507">
        <f>F230*地域経済性分析・初期条件!$O$45</f>
        <v>28346.732778370442</v>
      </c>
      <c r="G242" s="507">
        <f>G230*地域経済性分析・初期条件!$O$45</f>
        <v>28346.732778370442</v>
      </c>
      <c r="H242" s="507">
        <f>H230*地域経済性分析・初期条件!$O$45</f>
        <v>28346.732778370442</v>
      </c>
      <c r="I242" s="507">
        <f>I230*地域経済性分析・初期条件!$O$45</f>
        <v>28346.732778370442</v>
      </c>
      <c r="J242" s="507">
        <f>J230*地域経済性分析・初期条件!$O$45</f>
        <v>28346.732778370442</v>
      </c>
      <c r="K242" s="507">
        <f>K230*地域経済性分析・初期条件!$O$45</f>
        <v>28346.732778370442</v>
      </c>
      <c r="L242" s="507">
        <f>L230*地域経済性分析・初期条件!$O$45</f>
        <v>28346.732778370442</v>
      </c>
      <c r="M242" s="507">
        <f>M230*地域経済性分析・初期条件!$O$45</f>
        <v>28346.732778370442</v>
      </c>
      <c r="N242" s="507">
        <f>N230*地域経済性分析・初期条件!$O$45</f>
        <v>28346.732778370442</v>
      </c>
      <c r="O242" s="507">
        <f>O230*地域経済性分析・初期条件!$O$45</f>
        <v>28346.732778370442</v>
      </c>
      <c r="P242" s="507">
        <f>P230*地域経済性分析・初期条件!$O$45</f>
        <v>28346.732778370442</v>
      </c>
      <c r="Q242" s="507">
        <f>Q230*地域経済性分析・初期条件!$O$45</f>
        <v>28346.732778370442</v>
      </c>
      <c r="R242" s="507">
        <f>R230*地域経済性分析・初期条件!$O$45</f>
        <v>28346.732778370442</v>
      </c>
      <c r="S242" s="507">
        <f>S230*地域経済性分析・初期条件!$O$45</f>
        <v>28346.732778370442</v>
      </c>
      <c r="T242" s="507">
        <f>T230*地域経済性分析・初期条件!$O$45</f>
        <v>28346.732778370442</v>
      </c>
      <c r="U242" s="507">
        <f>U230*地域経済性分析・初期条件!$O$45</f>
        <v>28346.732778370442</v>
      </c>
      <c r="V242" s="507">
        <f>V230*地域経済性分析・初期条件!$O$45</f>
        <v>28346.732778370442</v>
      </c>
      <c r="W242" s="507">
        <f>W230*地域経済性分析・初期条件!$O$45</f>
        <v>28346.732778370442</v>
      </c>
      <c r="X242" s="507">
        <f>X230*地域経済性分析・初期条件!$O$45</f>
        <v>28346.732778370442</v>
      </c>
      <c r="Y242" s="507">
        <f>Y230*地域経済性分析・初期条件!$O$45</f>
        <v>28346.732778370442</v>
      </c>
      <c r="Z242" s="507">
        <f>Z230*地域経済性分析・初期条件!$O$45</f>
        <v>28346.732778370442</v>
      </c>
      <c r="AA242" s="507">
        <f>AA230*地域経済性分析・初期条件!$O$45</f>
        <v>28346.732778370442</v>
      </c>
      <c r="AB242" s="507">
        <f>AB230*地域経済性分析・初期条件!$O$45</f>
        <v>28346.732778370442</v>
      </c>
      <c r="AC242" s="507">
        <f>AC230*地域経済性分析・初期条件!$O$45</f>
        <v>28346.732778370442</v>
      </c>
      <c r="AD242" s="507">
        <f>AD230*地域経済性分析・初期条件!$O$45</f>
        <v>28346.732778370442</v>
      </c>
      <c r="AE242" s="507">
        <f>AE230*地域経済性分析・初期条件!$O$45</f>
        <v>28346.732778370442</v>
      </c>
      <c r="AF242" s="507">
        <f>AF230*地域経済性分析・初期条件!$O$45</f>
        <v>28346.732778370442</v>
      </c>
      <c r="AG242" s="507">
        <f>AG230*地域経済性分析・初期条件!$O$45</f>
        <v>28346.732778370442</v>
      </c>
      <c r="AH242" s="507">
        <f>AH230*地域経済性分析・初期条件!$O$45</f>
        <v>28346.732778370442</v>
      </c>
      <c r="AI242" s="548">
        <f t="shared" si="140"/>
        <v>283467.32778370444</v>
      </c>
      <c r="AJ242" s="548">
        <f t="shared" si="141"/>
        <v>566934.65556740889</v>
      </c>
      <c r="AK242" s="510">
        <f t="shared" si="142"/>
        <v>850401.98335111386</v>
      </c>
    </row>
    <row r="243" spans="1:37" ht="11.5" x14ac:dyDescent="0.25">
      <c r="A243" s="502" t="str">
        <f>地域経済性分析・初期条件!$G$46</f>
        <v>ガス・熱供給・水道業</v>
      </c>
      <c r="C243" s="465"/>
      <c r="D243" s="507"/>
      <c r="E243" s="507"/>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548"/>
      <c r="AJ243" s="548"/>
      <c r="AK243" s="510"/>
    </row>
    <row r="244" spans="1:37" ht="11.5" x14ac:dyDescent="0.25">
      <c r="A244" s="546" t="str">
        <f>A243&amp;B244</f>
        <v>ガス・熱供給・水道業売上（税別）</v>
      </c>
      <c r="B244" s="452" t="s">
        <v>1047</v>
      </c>
      <c r="C244" s="464" t="s">
        <v>37</v>
      </c>
      <c r="D244" s="507">
        <f>D228*地域経済性分析・初期条件!$F$46</f>
        <v>0</v>
      </c>
      <c r="E244" s="507">
        <f>E228*地域経済性分析・初期条件!$F$46</f>
        <v>0</v>
      </c>
      <c r="F244" s="507">
        <f>F228*地域経済性分析・初期条件!$F$46</f>
        <v>0</v>
      </c>
      <c r="G244" s="507">
        <f>G228*地域経済性分析・初期条件!$F$46</f>
        <v>0</v>
      </c>
      <c r="H244" s="507">
        <f>H228*地域経済性分析・初期条件!$F$46</f>
        <v>0</v>
      </c>
      <c r="I244" s="507">
        <f>I228*地域経済性分析・初期条件!$F$46</f>
        <v>0</v>
      </c>
      <c r="J244" s="507">
        <f>J228*地域経済性分析・初期条件!$F$46</f>
        <v>0</v>
      </c>
      <c r="K244" s="507">
        <f>K228*地域経済性分析・初期条件!$F$46</f>
        <v>0</v>
      </c>
      <c r="L244" s="507">
        <f>L228*地域経済性分析・初期条件!$F$46</f>
        <v>0</v>
      </c>
      <c r="M244" s="507">
        <f>M228*地域経済性分析・初期条件!$F$46</f>
        <v>0</v>
      </c>
      <c r="N244" s="507">
        <f>N228*地域経済性分析・初期条件!$F$46</f>
        <v>0</v>
      </c>
      <c r="O244" s="507">
        <f>O228*地域経済性分析・初期条件!$F$46</f>
        <v>0</v>
      </c>
      <c r="P244" s="507">
        <f>P228*地域経済性分析・初期条件!$F$46</f>
        <v>0</v>
      </c>
      <c r="Q244" s="507">
        <f>Q228*地域経済性分析・初期条件!$F$46</f>
        <v>0</v>
      </c>
      <c r="R244" s="507">
        <f>R228*地域経済性分析・初期条件!$F$46</f>
        <v>0</v>
      </c>
      <c r="S244" s="507">
        <f>S228*地域経済性分析・初期条件!$F$46</f>
        <v>0</v>
      </c>
      <c r="T244" s="507">
        <f>T228*地域経済性分析・初期条件!$F$46</f>
        <v>0</v>
      </c>
      <c r="U244" s="507">
        <f>U228*地域経済性分析・初期条件!$F$46</f>
        <v>0</v>
      </c>
      <c r="V244" s="507">
        <f>V228*地域経済性分析・初期条件!$F$46</f>
        <v>0</v>
      </c>
      <c r="W244" s="507">
        <f>W228*地域経済性分析・初期条件!$F$46</f>
        <v>0</v>
      </c>
      <c r="X244" s="507">
        <f>X228*地域経済性分析・初期条件!$F$46</f>
        <v>0</v>
      </c>
      <c r="Y244" s="507">
        <f>Y228*地域経済性分析・初期条件!$F$46</f>
        <v>0</v>
      </c>
      <c r="Z244" s="507">
        <f>Z228*地域経済性分析・初期条件!$F$46</f>
        <v>0</v>
      </c>
      <c r="AA244" s="507">
        <f>AA228*地域経済性分析・初期条件!$F$46</f>
        <v>0</v>
      </c>
      <c r="AB244" s="507">
        <f>AB228*地域経済性分析・初期条件!$F$46</f>
        <v>0</v>
      </c>
      <c r="AC244" s="507">
        <f>AC228*地域経済性分析・初期条件!$F$46</f>
        <v>0</v>
      </c>
      <c r="AD244" s="507">
        <f>AD228*地域経済性分析・初期条件!$F$46</f>
        <v>0</v>
      </c>
      <c r="AE244" s="507">
        <f>AE228*地域経済性分析・初期条件!$F$46</f>
        <v>0</v>
      </c>
      <c r="AF244" s="507">
        <f>AF228*地域経済性分析・初期条件!$F$46</f>
        <v>0</v>
      </c>
      <c r="AG244" s="507">
        <f>AG228*地域経済性分析・初期条件!$F$46</f>
        <v>0</v>
      </c>
      <c r="AH244" s="507">
        <f>AH228*地域経済性分析・初期条件!$F$46</f>
        <v>0</v>
      </c>
      <c r="AI244" s="548">
        <f t="shared" ref="AI244:AI256" si="143">SUM(D244:N244)</f>
        <v>0</v>
      </c>
      <c r="AJ244" s="548">
        <f>SUM(D244:X244)</f>
        <v>0</v>
      </c>
      <c r="AK244" s="510">
        <f>SUM(D244:AH244)</f>
        <v>0</v>
      </c>
    </row>
    <row r="245" spans="1:37" ht="11.5" x14ac:dyDescent="0.25">
      <c r="A245" s="546" t="str">
        <f>A243&amp;B245</f>
        <v>ガス・熱供給・水道業消費税（都道府県）</v>
      </c>
      <c r="B245" s="452" t="s">
        <v>263</v>
      </c>
      <c r="C245" s="464" t="s">
        <v>37</v>
      </c>
      <c r="D245" s="507">
        <f>D244*波及効果シート!$D$72</f>
        <v>0</v>
      </c>
      <c r="E245" s="507">
        <f>E244*波及効果シート!$D$72</f>
        <v>0</v>
      </c>
      <c r="F245" s="507">
        <f>F244*波及効果シート!$D$72</f>
        <v>0</v>
      </c>
      <c r="G245" s="507">
        <f>G244*波及効果シート!$D$72</f>
        <v>0</v>
      </c>
      <c r="H245" s="507">
        <f>H244*波及効果シート!$D$72</f>
        <v>0</v>
      </c>
      <c r="I245" s="507">
        <f>I244*波及効果シート!$D$72</f>
        <v>0</v>
      </c>
      <c r="J245" s="507">
        <f>J244*波及効果シート!$D$72</f>
        <v>0</v>
      </c>
      <c r="K245" s="507">
        <f>K244*波及効果シート!$D$72</f>
        <v>0</v>
      </c>
      <c r="L245" s="507">
        <f>L244*波及効果シート!$D$72</f>
        <v>0</v>
      </c>
      <c r="M245" s="507">
        <f>M244*波及効果シート!$D$72</f>
        <v>0</v>
      </c>
      <c r="N245" s="507">
        <f>N244*波及効果シート!$D$72</f>
        <v>0</v>
      </c>
      <c r="O245" s="507">
        <f>O244*波及効果シート!$D$72</f>
        <v>0</v>
      </c>
      <c r="P245" s="507">
        <f>P244*波及効果シート!$D$72</f>
        <v>0</v>
      </c>
      <c r="Q245" s="507">
        <f>Q244*波及効果シート!$D$72</f>
        <v>0</v>
      </c>
      <c r="R245" s="507">
        <f>R244*波及効果シート!$D$72</f>
        <v>0</v>
      </c>
      <c r="S245" s="507">
        <f>S244*波及効果シート!$D$72</f>
        <v>0</v>
      </c>
      <c r="T245" s="507">
        <f>T244*波及効果シート!$D$72</f>
        <v>0</v>
      </c>
      <c r="U245" s="507">
        <f>U244*波及効果シート!$D$72</f>
        <v>0</v>
      </c>
      <c r="V245" s="507">
        <f>V244*波及効果シート!$D$72</f>
        <v>0</v>
      </c>
      <c r="W245" s="507">
        <f>W244*波及効果シート!$D$72</f>
        <v>0</v>
      </c>
      <c r="X245" s="507">
        <f>X244*波及効果シート!$D$72</f>
        <v>0</v>
      </c>
      <c r="Y245" s="507">
        <f>Y244*波及効果シート!$D$72</f>
        <v>0</v>
      </c>
      <c r="Z245" s="507">
        <f>Z244*波及効果シート!$D$72</f>
        <v>0</v>
      </c>
      <c r="AA245" s="507">
        <f>AA244*波及効果シート!$D$72</f>
        <v>0</v>
      </c>
      <c r="AB245" s="507">
        <f>AB244*波及効果シート!$D$72</f>
        <v>0</v>
      </c>
      <c r="AC245" s="507">
        <f>AC244*波及効果シート!$D$72</f>
        <v>0</v>
      </c>
      <c r="AD245" s="507">
        <f>AD244*波及効果シート!$D$72</f>
        <v>0</v>
      </c>
      <c r="AE245" s="507">
        <f>AE244*波及効果シート!$D$72</f>
        <v>0</v>
      </c>
      <c r="AF245" s="507">
        <f>AF244*波及効果シート!$D$72</f>
        <v>0</v>
      </c>
      <c r="AG245" s="507">
        <f>AG244*波及効果シート!$D$72</f>
        <v>0</v>
      </c>
      <c r="AH245" s="507">
        <f>AH244*波及効果シート!$D$72</f>
        <v>0</v>
      </c>
      <c r="AI245" s="548">
        <f t="shared" si="143"/>
        <v>0</v>
      </c>
      <c r="AJ245" s="548">
        <f>SUM(D245:X245)</f>
        <v>0</v>
      </c>
      <c r="AK245" s="510">
        <f>SUM(D245:AH245)</f>
        <v>0</v>
      </c>
    </row>
    <row r="246" spans="1:37" ht="11.5" x14ac:dyDescent="0.25">
      <c r="A246" s="546" t="str">
        <f>A243&amp;B246</f>
        <v>ガス・熱供給・水道業消費税（市町村）</v>
      </c>
      <c r="B246" s="452" t="s">
        <v>1048</v>
      </c>
      <c r="C246" s="465" t="s">
        <v>37</v>
      </c>
      <c r="D246" s="507">
        <f>D244*波及効果シート!$D$74</f>
        <v>0</v>
      </c>
      <c r="E246" s="507">
        <f>E244*波及効果シート!$D$74</f>
        <v>0</v>
      </c>
      <c r="F246" s="507">
        <f>F244*波及効果シート!$D$74</f>
        <v>0</v>
      </c>
      <c r="G246" s="507">
        <f>G244*波及効果シート!$D$74</f>
        <v>0</v>
      </c>
      <c r="H246" s="507">
        <f>H244*波及効果シート!$D$74</f>
        <v>0</v>
      </c>
      <c r="I246" s="507">
        <f>I244*波及効果シート!$D$74</f>
        <v>0</v>
      </c>
      <c r="J246" s="507">
        <f>J244*波及効果シート!$D$74</f>
        <v>0</v>
      </c>
      <c r="K246" s="507">
        <f>K244*波及効果シート!$D$74</f>
        <v>0</v>
      </c>
      <c r="L246" s="507">
        <f>L244*波及効果シート!$D$74</f>
        <v>0</v>
      </c>
      <c r="M246" s="507">
        <f>M244*波及効果シート!$D$74</f>
        <v>0</v>
      </c>
      <c r="N246" s="507">
        <f>N244*波及効果シート!$D$74</f>
        <v>0</v>
      </c>
      <c r="O246" s="507">
        <f>O244*波及効果シート!$D$74</f>
        <v>0</v>
      </c>
      <c r="P246" s="507">
        <f>P244*波及効果シート!$D$74</f>
        <v>0</v>
      </c>
      <c r="Q246" s="507">
        <f>Q244*波及効果シート!$D$74</f>
        <v>0</v>
      </c>
      <c r="R246" s="507">
        <f>R244*波及効果シート!$D$74</f>
        <v>0</v>
      </c>
      <c r="S246" s="507">
        <f>S244*波及効果シート!$D$74</f>
        <v>0</v>
      </c>
      <c r="T246" s="507">
        <f>T244*波及効果シート!$D$74</f>
        <v>0</v>
      </c>
      <c r="U246" s="507">
        <f>U244*波及効果シート!$D$74</f>
        <v>0</v>
      </c>
      <c r="V246" s="507">
        <f>V244*波及効果シート!$D$74</f>
        <v>0</v>
      </c>
      <c r="W246" s="507">
        <f>W244*波及効果シート!$D$74</f>
        <v>0</v>
      </c>
      <c r="X246" s="507">
        <f>X244*波及効果シート!$D$74</f>
        <v>0</v>
      </c>
      <c r="Y246" s="507">
        <f>Y244*波及効果シート!$D$74</f>
        <v>0</v>
      </c>
      <c r="Z246" s="507">
        <f>Z244*波及効果シート!$D$74</f>
        <v>0</v>
      </c>
      <c r="AA246" s="507">
        <f>AA244*波及効果シート!$D$74</f>
        <v>0</v>
      </c>
      <c r="AB246" s="507">
        <f>AB244*波及効果シート!$D$74</f>
        <v>0</v>
      </c>
      <c r="AC246" s="507">
        <f>AC244*波及効果シート!$D$74</f>
        <v>0</v>
      </c>
      <c r="AD246" s="507">
        <f>AD244*波及効果シート!$D$74</f>
        <v>0</v>
      </c>
      <c r="AE246" s="507">
        <f>AE244*波及効果シート!$D$74</f>
        <v>0</v>
      </c>
      <c r="AF246" s="507">
        <f>AF244*波及効果シート!$D$74</f>
        <v>0</v>
      </c>
      <c r="AG246" s="507">
        <f>AG244*波及効果シート!$D$74</f>
        <v>0</v>
      </c>
      <c r="AH246" s="507">
        <f>AH244*波及効果シート!$D$74</f>
        <v>0</v>
      </c>
      <c r="AI246" s="548">
        <f t="shared" si="143"/>
        <v>0</v>
      </c>
      <c r="AJ246" s="548">
        <f>SUM(D246:X246)</f>
        <v>0</v>
      </c>
      <c r="AK246" s="510">
        <f>SUM(D246:AH246)</f>
        <v>0</v>
      </c>
    </row>
    <row r="247" spans="1:37" ht="11.5" x14ac:dyDescent="0.25">
      <c r="A247" s="546" t="str">
        <f>A243&amp;B247</f>
        <v>ガス・熱供給・水道業所得税（国税）</v>
      </c>
      <c r="B247" s="452" t="s">
        <v>356</v>
      </c>
      <c r="C247" s="465" t="s">
        <v>37</v>
      </c>
      <c r="D247" s="507">
        <f>D244*地域経済性分析・初期条件!$P$46</f>
        <v>0</v>
      </c>
      <c r="E247" s="507">
        <f>E244*地域経済性分析・初期条件!$P$46</f>
        <v>0</v>
      </c>
      <c r="F247" s="507">
        <f>F244*地域経済性分析・初期条件!$P$46</f>
        <v>0</v>
      </c>
      <c r="G247" s="507">
        <f>G244*地域経済性分析・初期条件!$P$46</f>
        <v>0</v>
      </c>
      <c r="H247" s="507">
        <f>H244*地域経済性分析・初期条件!$P$46</f>
        <v>0</v>
      </c>
      <c r="I247" s="507">
        <f>I244*地域経済性分析・初期条件!$P$46</f>
        <v>0</v>
      </c>
      <c r="J247" s="507">
        <f>J244*地域経済性分析・初期条件!$P$46</f>
        <v>0</v>
      </c>
      <c r="K247" s="507">
        <f>K244*地域経済性分析・初期条件!$P$46</f>
        <v>0</v>
      </c>
      <c r="L247" s="507">
        <f>L244*地域経済性分析・初期条件!$P$46</f>
        <v>0</v>
      </c>
      <c r="M247" s="507">
        <f>M244*地域経済性分析・初期条件!$P$46</f>
        <v>0</v>
      </c>
      <c r="N247" s="507">
        <f>N244*地域経済性分析・初期条件!$P$46</f>
        <v>0</v>
      </c>
      <c r="O247" s="507">
        <f>O244*地域経済性分析・初期条件!$P$46</f>
        <v>0</v>
      </c>
      <c r="P247" s="507">
        <f>P244*地域経済性分析・初期条件!$P$46</f>
        <v>0</v>
      </c>
      <c r="Q247" s="507">
        <f>Q244*地域経済性分析・初期条件!$P$46</f>
        <v>0</v>
      </c>
      <c r="R247" s="507">
        <f>R244*地域経済性分析・初期条件!$P$46</f>
        <v>0</v>
      </c>
      <c r="S247" s="507">
        <f>S244*地域経済性分析・初期条件!$P$46</f>
        <v>0</v>
      </c>
      <c r="T247" s="507">
        <f>T244*地域経済性分析・初期条件!$P$46</f>
        <v>0</v>
      </c>
      <c r="U247" s="507">
        <f>U244*地域経済性分析・初期条件!$P$46</f>
        <v>0</v>
      </c>
      <c r="V247" s="507">
        <f>V244*地域経済性分析・初期条件!$P$46</f>
        <v>0</v>
      </c>
      <c r="W247" s="507">
        <f>W244*地域経済性分析・初期条件!$P$46</f>
        <v>0</v>
      </c>
      <c r="X247" s="507">
        <f>X244*地域経済性分析・初期条件!$P$46</f>
        <v>0</v>
      </c>
      <c r="Y247" s="507">
        <f>Y244*地域経済性分析・初期条件!$P$46</f>
        <v>0</v>
      </c>
      <c r="Z247" s="507">
        <f>Z244*地域経済性分析・初期条件!$P$46</f>
        <v>0</v>
      </c>
      <c r="AA247" s="507">
        <f>AA244*地域経済性分析・初期条件!$P$46</f>
        <v>0</v>
      </c>
      <c r="AB247" s="507">
        <f>AB244*地域経済性分析・初期条件!$P$46</f>
        <v>0</v>
      </c>
      <c r="AC247" s="507">
        <f>AC244*地域経済性分析・初期条件!$P$46</f>
        <v>0</v>
      </c>
      <c r="AD247" s="507">
        <f>AD244*地域経済性分析・初期条件!$P$46</f>
        <v>0</v>
      </c>
      <c r="AE247" s="507">
        <f>AE244*地域経済性分析・初期条件!$P$46</f>
        <v>0</v>
      </c>
      <c r="AF247" s="507">
        <f>AF244*地域経済性分析・初期条件!$P$46</f>
        <v>0</v>
      </c>
      <c r="AG247" s="507">
        <f>AG244*地域経済性分析・初期条件!$P$46</f>
        <v>0</v>
      </c>
      <c r="AH247" s="507">
        <f>AH244*地域経済性分析・初期条件!$P$46</f>
        <v>0</v>
      </c>
      <c r="AI247" s="548">
        <f t="shared" si="143"/>
        <v>0</v>
      </c>
      <c r="AJ247" s="548">
        <f t="shared" ref="AJ247:AJ256" si="144">SUM(D247:X247)</f>
        <v>0</v>
      </c>
      <c r="AK247" s="510">
        <f t="shared" ref="AK247:AK256" si="145">SUM(D247:AH247)</f>
        <v>0</v>
      </c>
    </row>
    <row r="248" spans="1:37" ht="11.5" x14ac:dyDescent="0.25">
      <c r="A248" s="546" t="str">
        <f>A243&amp;B248</f>
        <v>ガス・熱供給・水道業法人税（国税）</v>
      </c>
      <c r="B248" s="452" t="s">
        <v>355</v>
      </c>
      <c r="C248" s="465" t="s">
        <v>37</v>
      </c>
      <c r="D248" s="507">
        <f>D244*地域経済性分析・初期条件!$Q$46</f>
        <v>0</v>
      </c>
      <c r="E248" s="507">
        <f>E244*地域経済性分析・初期条件!$Q$46</f>
        <v>0</v>
      </c>
      <c r="F248" s="507">
        <f>F244*地域経済性分析・初期条件!$Q$46</f>
        <v>0</v>
      </c>
      <c r="G248" s="507">
        <f>G244*地域経済性分析・初期条件!$Q$46</f>
        <v>0</v>
      </c>
      <c r="H248" s="507">
        <f>H244*地域経済性分析・初期条件!$Q$46</f>
        <v>0</v>
      </c>
      <c r="I248" s="507">
        <f>I244*地域経済性分析・初期条件!$Q$46</f>
        <v>0</v>
      </c>
      <c r="J248" s="507">
        <f>J244*地域経済性分析・初期条件!$Q$46</f>
        <v>0</v>
      </c>
      <c r="K248" s="507">
        <f>K244*地域経済性分析・初期条件!$Q$46</f>
        <v>0</v>
      </c>
      <c r="L248" s="507">
        <f>L244*地域経済性分析・初期条件!$Q$46</f>
        <v>0</v>
      </c>
      <c r="M248" s="507">
        <f>M244*地域経済性分析・初期条件!$Q$46</f>
        <v>0</v>
      </c>
      <c r="N248" s="507">
        <f>N244*地域経済性分析・初期条件!$Q$46</f>
        <v>0</v>
      </c>
      <c r="O248" s="507">
        <f>O244*地域経済性分析・初期条件!$Q$46</f>
        <v>0</v>
      </c>
      <c r="P248" s="507">
        <f>P244*地域経済性分析・初期条件!$Q$46</f>
        <v>0</v>
      </c>
      <c r="Q248" s="507">
        <f>Q244*地域経済性分析・初期条件!$Q$46</f>
        <v>0</v>
      </c>
      <c r="R248" s="507">
        <f>R244*地域経済性分析・初期条件!$Q$46</f>
        <v>0</v>
      </c>
      <c r="S248" s="507">
        <f>S244*地域経済性分析・初期条件!$Q$46</f>
        <v>0</v>
      </c>
      <c r="T248" s="507">
        <f>T244*地域経済性分析・初期条件!$Q$46</f>
        <v>0</v>
      </c>
      <c r="U248" s="507">
        <f>U244*地域経済性分析・初期条件!$Q$46</f>
        <v>0</v>
      </c>
      <c r="V248" s="507">
        <f>V244*地域経済性分析・初期条件!$Q$46</f>
        <v>0</v>
      </c>
      <c r="W248" s="507">
        <f>W244*地域経済性分析・初期条件!$Q$46</f>
        <v>0</v>
      </c>
      <c r="X248" s="507">
        <f>X244*地域経済性分析・初期条件!$Q$46</f>
        <v>0</v>
      </c>
      <c r="Y248" s="507">
        <f>Y244*地域経済性分析・初期条件!$Q$46</f>
        <v>0</v>
      </c>
      <c r="Z248" s="507">
        <f>Z244*地域経済性分析・初期条件!$Q$46</f>
        <v>0</v>
      </c>
      <c r="AA248" s="507">
        <f>AA244*地域経済性分析・初期条件!$Q$46</f>
        <v>0</v>
      </c>
      <c r="AB248" s="507">
        <f>AB244*地域経済性分析・初期条件!$Q$46</f>
        <v>0</v>
      </c>
      <c r="AC248" s="507">
        <f>AC244*地域経済性分析・初期条件!$Q$46</f>
        <v>0</v>
      </c>
      <c r="AD248" s="507">
        <f>AD244*地域経済性分析・初期条件!$Q$46</f>
        <v>0</v>
      </c>
      <c r="AE248" s="507">
        <f>AE244*地域経済性分析・初期条件!$Q$46</f>
        <v>0</v>
      </c>
      <c r="AF248" s="507">
        <f>AF244*地域経済性分析・初期条件!$Q$46</f>
        <v>0</v>
      </c>
      <c r="AG248" s="507">
        <f>AG244*地域経済性分析・初期条件!$Q$46</f>
        <v>0</v>
      </c>
      <c r="AH248" s="507">
        <f>AH244*地域経済性分析・初期条件!$Q$46</f>
        <v>0</v>
      </c>
      <c r="AI248" s="548">
        <f t="shared" si="143"/>
        <v>0</v>
      </c>
      <c r="AJ248" s="548">
        <f t="shared" si="144"/>
        <v>0</v>
      </c>
      <c r="AK248" s="510">
        <f t="shared" si="145"/>
        <v>0</v>
      </c>
    </row>
    <row r="249" spans="1:37" ht="11.5" x14ac:dyDescent="0.25">
      <c r="A249" s="546" t="str">
        <f>A243&amp;B249</f>
        <v>ガス・熱供給・水道業従業員の可処分所得（一次）</v>
      </c>
      <c r="B249" s="452" t="s">
        <v>339</v>
      </c>
      <c r="C249" s="464" t="s">
        <v>37</v>
      </c>
      <c r="D249" s="507">
        <f>D244*地域経済性分析・初期条件!$H$46</f>
        <v>0</v>
      </c>
      <c r="E249" s="507">
        <f>E244*地域経済性分析・初期条件!$H$46</f>
        <v>0</v>
      </c>
      <c r="F249" s="507">
        <f>F244*地域経済性分析・初期条件!$H$46</f>
        <v>0</v>
      </c>
      <c r="G249" s="507">
        <f>G244*地域経済性分析・初期条件!$H$46</f>
        <v>0</v>
      </c>
      <c r="H249" s="507">
        <f>H244*地域経済性分析・初期条件!$H$46</f>
        <v>0</v>
      </c>
      <c r="I249" s="507">
        <f>I244*地域経済性分析・初期条件!$H$46</f>
        <v>0</v>
      </c>
      <c r="J249" s="507">
        <f>J244*地域経済性分析・初期条件!$H$46</f>
        <v>0</v>
      </c>
      <c r="K249" s="507">
        <f>K244*地域経済性分析・初期条件!$H$46</f>
        <v>0</v>
      </c>
      <c r="L249" s="507">
        <f>L244*地域経済性分析・初期条件!$H$46</f>
        <v>0</v>
      </c>
      <c r="M249" s="507">
        <f>M244*地域経済性分析・初期条件!$H$46</f>
        <v>0</v>
      </c>
      <c r="N249" s="507">
        <f>N244*地域経済性分析・初期条件!$H$46</f>
        <v>0</v>
      </c>
      <c r="O249" s="507">
        <f>O244*地域経済性分析・初期条件!$H$46</f>
        <v>0</v>
      </c>
      <c r="P249" s="507">
        <f>P244*地域経済性分析・初期条件!$H$46</f>
        <v>0</v>
      </c>
      <c r="Q249" s="507">
        <f>Q244*地域経済性分析・初期条件!$H$46</f>
        <v>0</v>
      </c>
      <c r="R249" s="507">
        <f>R244*地域経済性分析・初期条件!$H$46</f>
        <v>0</v>
      </c>
      <c r="S249" s="507">
        <f>S244*地域経済性分析・初期条件!$H$46</f>
        <v>0</v>
      </c>
      <c r="T249" s="507">
        <f>T244*地域経済性分析・初期条件!$H$46</f>
        <v>0</v>
      </c>
      <c r="U249" s="507">
        <f>U244*地域経済性分析・初期条件!$H$46</f>
        <v>0</v>
      </c>
      <c r="V249" s="507">
        <f>V244*地域経済性分析・初期条件!$H$46</f>
        <v>0</v>
      </c>
      <c r="W249" s="507">
        <f>W244*地域経済性分析・初期条件!$H$46</f>
        <v>0</v>
      </c>
      <c r="X249" s="507">
        <f>X244*地域経済性分析・初期条件!$H$46</f>
        <v>0</v>
      </c>
      <c r="Y249" s="507">
        <f>Y244*地域経済性分析・初期条件!$H$46</f>
        <v>0</v>
      </c>
      <c r="Z249" s="507">
        <f>Z244*地域経済性分析・初期条件!$H$46</f>
        <v>0</v>
      </c>
      <c r="AA249" s="507">
        <f>AA244*地域経済性分析・初期条件!$H$46</f>
        <v>0</v>
      </c>
      <c r="AB249" s="507">
        <f>AB244*地域経済性分析・初期条件!$H$46</f>
        <v>0</v>
      </c>
      <c r="AC249" s="507">
        <f>AC244*地域経済性分析・初期条件!$H$46</f>
        <v>0</v>
      </c>
      <c r="AD249" s="507">
        <f>AD244*地域経済性分析・初期条件!$H$46</f>
        <v>0</v>
      </c>
      <c r="AE249" s="507">
        <f>AE244*地域経済性分析・初期条件!$H$46</f>
        <v>0</v>
      </c>
      <c r="AF249" s="507">
        <f>AF244*地域経済性分析・初期条件!$H$46</f>
        <v>0</v>
      </c>
      <c r="AG249" s="507">
        <f>AG244*地域経済性分析・初期条件!$H$46</f>
        <v>0</v>
      </c>
      <c r="AH249" s="507">
        <f>AH244*地域経済性分析・初期条件!$H$46</f>
        <v>0</v>
      </c>
      <c r="AI249" s="548">
        <f t="shared" si="143"/>
        <v>0</v>
      </c>
      <c r="AJ249" s="548">
        <f t="shared" si="144"/>
        <v>0</v>
      </c>
      <c r="AK249" s="510">
        <f t="shared" si="145"/>
        <v>0</v>
      </c>
    </row>
    <row r="250" spans="1:37" ht="11.5" x14ac:dyDescent="0.25">
      <c r="A250" s="546" t="str">
        <f>A243&amp;B250</f>
        <v>ガス・熱供給・水道業企業の税引後利益（一次）</v>
      </c>
      <c r="B250" s="452" t="s">
        <v>340</v>
      </c>
      <c r="C250" s="464" t="s">
        <v>37</v>
      </c>
      <c r="D250" s="507">
        <f>D244*地域経済性分析・初期条件!$I$46</f>
        <v>0</v>
      </c>
      <c r="E250" s="507">
        <f>E244*地域経済性分析・初期条件!$I$46</f>
        <v>0</v>
      </c>
      <c r="F250" s="507">
        <f>F244*地域経済性分析・初期条件!$I$46</f>
        <v>0</v>
      </c>
      <c r="G250" s="507">
        <f>G244*地域経済性分析・初期条件!$I$46</f>
        <v>0</v>
      </c>
      <c r="H250" s="507">
        <f>H244*地域経済性分析・初期条件!$I$46</f>
        <v>0</v>
      </c>
      <c r="I250" s="507">
        <f>I244*地域経済性分析・初期条件!$I$46</f>
        <v>0</v>
      </c>
      <c r="J250" s="507">
        <f>J244*地域経済性分析・初期条件!$I$46</f>
        <v>0</v>
      </c>
      <c r="K250" s="507">
        <f>K244*地域経済性分析・初期条件!$I$46</f>
        <v>0</v>
      </c>
      <c r="L250" s="507">
        <f>L244*地域経済性分析・初期条件!$I$46</f>
        <v>0</v>
      </c>
      <c r="M250" s="507">
        <f>M244*地域経済性分析・初期条件!$I$46</f>
        <v>0</v>
      </c>
      <c r="N250" s="507">
        <f>N244*地域経済性分析・初期条件!$I$46</f>
        <v>0</v>
      </c>
      <c r="O250" s="507">
        <f>O244*地域経済性分析・初期条件!$I$46</f>
        <v>0</v>
      </c>
      <c r="P250" s="507">
        <f>P244*地域経済性分析・初期条件!$I$46</f>
        <v>0</v>
      </c>
      <c r="Q250" s="507">
        <f>Q244*地域経済性分析・初期条件!$I$46</f>
        <v>0</v>
      </c>
      <c r="R250" s="507">
        <f>R244*地域経済性分析・初期条件!$I$46</f>
        <v>0</v>
      </c>
      <c r="S250" s="507">
        <f>S244*地域経済性分析・初期条件!$I$46</f>
        <v>0</v>
      </c>
      <c r="T250" s="507">
        <f>T244*地域経済性分析・初期条件!$I$46</f>
        <v>0</v>
      </c>
      <c r="U250" s="507">
        <f>U244*地域経済性分析・初期条件!$I$46</f>
        <v>0</v>
      </c>
      <c r="V250" s="507">
        <f>V244*地域経済性分析・初期条件!$I$46</f>
        <v>0</v>
      </c>
      <c r="W250" s="507">
        <f>W244*地域経済性分析・初期条件!$I$46</f>
        <v>0</v>
      </c>
      <c r="X250" s="507">
        <f>X244*地域経済性分析・初期条件!$I$46</f>
        <v>0</v>
      </c>
      <c r="Y250" s="507">
        <f>Y244*地域経済性分析・初期条件!$I$46</f>
        <v>0</v>
      </c>
      <c r="Z250" s="507">
        <f>Z244*地域経済性分析・初期条件!$I$46</f>
        <v>0</v>
      </c>
      <c r="AA250" s="507">
        <f>AA244*地域経済性分析・初期条件!$I$46</f>
        <v>0</v>
      </c>
      <c r="AB250" s="507">
        <f>AB244*地域経済性分析・初期条件!$I$46</f>
        <v>0</v>
      </c>
      <c r="AC250" s="507">
        <f>AC244*地域経済性分析・初期条件!$I$46</f>
        <v>0</v>
      </c>
      <c r="AD250" s="507">
        <f>AD244*地域経済性分析・初期条件!$I$46</f>
        <v>0</v>
      </c>
      <c r="AE250" s="507">
        <f>AE244*地域経済性分析・初期条件!$I$46</f>
        <v>0</v>
      </c>
      <c r="AF250" s="507">
        <f>AF244*地域経済性分析・初期条件!$I$46</f>
        <v>0</v>
      </c>
      <c r="AG250" s="507">
        <f>AG244*地域経済性分析・初期条件!$I$46</f>
        <v>0</v>
      </c>
      <c r="AH250" s="507">
        <f>AH244*地域経済性分析・初期条件!$I$46</f>
        <v>0</v>
      </c>
      <c r="AI250" s="548">
        <f t="shared" si="143"/>
        <v>0</v>
      </c>
      <c r="AJ250" s="548">
        <f t="shared" si="144"/>
        <v>0</v>
      </c>
      <c r="AK250" s="510">
        <f t="shared" si="145"/>
        <v>0</v>
      </c>
    </row>
    <row r="251" spans="1:37" ht="11.5" x14ac:dyDescent="0.25">
      <c r="A251" s="546" t="str">
        <f>A243&amp;B251</f>
        <v>ガス・熱供給・水道業都道府県税収（一次）</v>
      </c>
      <c r="B251" s="452" t="s">
        <v>341</v>
      </c>
      <c r="C251" s="464" t="s">
        <v>37</v>
      </c>
      <c r="D251" s="507">
        <f>D244*地域経済性分析・初期条件!$J$46</f>
        <v>0</v>
      </c>
      <c r="E251" s="507">
        <f>E244*地域経済性分析・初期条件!$J$46</f>
        <v>0</v>
      </c>
      <c r="F251" s="507">
        <f>F244*地域経済性分析・初期条件!$J$46</f>
        <v>0</v>
      </c>
      <c r="G251" s="507">
        <f>G244*地域経済性分析・初期条件!$J$46</f>
        <v>0</v>
      </c>
      <c r="H251" s="507">
        <f>H244*地域経済性分析・初期条件!$J$46</f>
        <v>0</v>
      </c>
      <c r="I251" s="507">
        <f>I244*地域経済性分析・初期条件!$J$46</f>
        <v>0</v>
      </c>
      <c r="J251" s="507">
        <f>J244*地域経済性分析・初期条件!$J$46</f>
        <v>0</v>
      </c>
      <c r="K251" s="507">
        <f>K244*地域経済性分析・初期条件!$J$46</f>
        <v>0</v>
      </c>
      <c r="L251" s="507">
        <f>L244*地域経済性分析・初期条件!$J$46</f>
        <v>0</v>
      </c>
      <c r="M251" s="507">
        <f>M244*地域経済性分析・初期条件!$J$46</f>
        <v>0</v>
      </c>
      <c r="N251" s="507">
        <f>N244*地域経済性分析・初期条件!$J$46</f>
        <v>0</v>
      </c>
      <c r="O251" s="507">
        <f>O244*地域経済性分析・初期条件!$J$46</f>
        <v>0</v>
      </c>
      <c r="P251" s="507">
        <f>P244*地域経済性分析・初期条件!$J$46</f>
        <v>0</v>
      </c>
      <c r="Q251" s="507">
        <f>Q244*地域経済性分析・初期条件!$J$46</f>
        <v>0</v>
      </c>
      <c r="R251" s="507">
        <f>R244*地域経済性分析・初期条件!$J$46</f>
        <v>0</v>
      </c>
      <c r="S251" s="507">
        <f>S244*地域経済性分析・初期条件!$J$46</f>
        <v>0</v>
      </c>
      <c r="T251" s="507">
        <f>T244*地域経済性分析・初期条件!$J$46</f>
        <v>0</v>
      </c>
      <c r="U251" s="507">
        <f>U244*地域経済性分析・初期条件!$J$46</f>
        <v>0</v>
      </c>
      <c r="V251" s="507">
        <f>V244*地域経済性分析・初期条件!$J$46</f>
        <v>0</v>
      </c>
      <c r="W251" s="507">
        <f>W244*地域経済性分析・初期条件!$J$46</f>
        <v>0</v>
      </c>
      <c r="X251" s="507">
        <f>X244*地域経済性分析・初期条件!$J$46</f>
        <v>0</v>
      </c>
      <c r="Y251" s="507">
        <f>Y244*地域経済性分析・初期条件!$J$46</f>
        <v>0</v>
      </c>
      <c r="Z251" s="507">
        <f>Z244*地域経済性分析・初期条件!$J$46</f>
        <v>0</v>
      </c>
      <c r="AA251" s="507">
        <f>AA244*地域経済性分析・初期条件!$J$46</f>
        <v>0</v>
      </c>
      <c r="AB251" s="507">
        <f>AB244*地域経済性分析・初期条件!$J$46</f>
        <v>0</v>
      </c>
      <c r="AC251" s="507">
        <f>AC244*地域経済性分析・初期条件!$J$46</f>
        <v>0</v>
      </c>
      <c r="AD251" s="507">
        <f>AD244*地域経済性分析・初期条件!$J$46</f>
        <v>0</v>
      </c>
      <c r="AE251" s="507">
        <f>AE244*地域経済性分析・初期条件!$J$46</f>
        <v>0</v>
      </c>
      <c r="AF251" s="507">
        <f>AF244*地域経済性分析・初期条件!$J$46</f>
        <v>0</v>
      </c>
      <c r="AG251" s="507">
        <f>AG244*地域経済性分析・初期条件!$J$46</f>
        <v>0</v>
      </c>
      <c r="AH251" s="507">
        <f>AH244*地域経済性分析・初期条件!$J$46</f>
        <v>0</v>
      </c>
      <c r="AI251" s="548">
        <f t="shared" si="143"/>
        <v>0</v>
      </c>
      <c r="AJ251" s="548">
        <f t="shared" si="144"/>
        <v>0</v>
      </c>
      <c r="AK251" s="510">
        <f t="shared" si="145"/>
        <v>0</v>
      </c>
    </row>
    <row r="252" spans="1:37" ht="11.5" x14ac:dyDescent="0.25">
      <c r="A252" s="546" t="str">
        <f>A243&amp;B252</f>
        <v>ガス・熱供給・水道業市町村税収（一次）</v>
      </c>
      <c r="B252" s="452" t="s">
        <v>342</v>
      </c>
      <c r="C252" s="465" t="s">
        <v>37</v>
      </c>
      <c r="D252" s="507">
        <f>D244*地域経済性分析・初期条件!$K$46</f>
        <v>0</v>
      </c>
      <c r="E252" s="507">
        <f>E244*地域経済性分析・初期条件!$K$46</f>
        <v>0</v>
      </c>
      <c r="F252" s="507">
        <f>F244*地域経済性分析・初期条件!$K$46</f>
        <v>0</v>
      </c>
      <c r="G252" s="507">
        <f>G244*地域経済性分析・初期条件!$K$46</f>
        <v>0</v>
      </c>
      <c r="H252" s="507">
        <f>H244*地域経済性分析・初期条件!$K$46</f>
        <v>0</v>
      </c>
      <c r="I252" s="507">
        <f>I244*地域経済性分析・初期条件!$K$46</f>
        <v>0</v>
      </c>
      <c r="J252" s="507">
        <f>J244*地域経済性分析・初期条件!$K$46</f>
        <v>0</v>
      </c>
      <c r="K252" s="507">
        <f>K244*地域経済性分析・初期条件!$K$46</f>
        <v>0</v>
      </c>
      <c r="L252" s="507">
        <f>L244*地域経済性分析・初期条件!$K$46</f>
        <v>0</v>
      </c>
      <c r="M252" s="507">
        <f>M244*地域経済性分析・初期条件!$K$46</f>
        <v>0</v>
      </c>
      <c r="N252" s="507">
        <f>N244*地域経済性分析・初期条件!$K$46</f>
        <v>0</v>
      </c>
      <c r="O252" s="507">
        <f>O244*地域経済性分析・初期条件!$K$46</f>
        <v>0</v>
      </c>
      <c r="P252" s="507">
        <f>P244*地域経済性分析・初期条件!$K$46</f>
        <v>0</v>
      </c>
      <c r="Q252" s="507">
        <f>Q244*地域経済性分析・初期条件!$K$46</f>
        <v>0</v>
      </c>
      <c r="R252" s="507">
        <f>R244*地域経済性分析・初期条件!$K$46</f>
        <v>0</v>
      </c>
      <c r="S252" s="507">
        <f>S244*地域経済性分析・初期条件!$K$46</f>
        <v>0</v>
      </c>
      <c r="T252" s="507">
        <f>T244*地域経済性分析・初期条件!$K$46</f>
        <v>0</v>
      </c>
      <c r="U252" s="507">
        <f>U244*地域経済性分析・初期条件!$K$46</f>
        <v>0</v>
      </c>
      <c r="V252" s="507">
        <f>V244*地域経済性分析・初期条件!$K$46</f>
        <v>0</v>
      </c>
      <c r="W252" s="507">
        <f>W244*地域経済性分析・初期条件!$K$46</f>
        <v>0</v>
      </c>
      <c r="X252" s="507">
        <f>X244*地域経済性分析・初期条件!$K$46</f>
        <v>0</v>
      </c>
      <c r="Y252" s="507">
        <f>Y244*地域経済性分析・初期条件!$K$46</f>
        <v>0</v>
      </c>
      <c r="Z252" s="507">
        <f>Z244*地域経済性分析・初期条件!$K$46</f>
        <v>0</v>
      </c>
      <c r="AA252" s="507">
        <f>AA244*地域経済性分析・初期条件!$K$46</f>
        <v>0</v>
      </c>
      <c r="AB252" s="507">
        <f>AB244*地域経済性分析・初期条件!$K$46</f>
        <v>0</v>
      </c>
      <c r="AC252" s="507">
        <f>AC244*地域経済性分析・初期条件!$K$46</f>
        <v>0</v>
      </c>
      <c r="AD252" s="507">
        <f>AD244*地域経済性分析・初期条件!$K$46</f>
        <v>0</v>
      </c>
      <c r="AE252" s="507">
        <f>AE244*地域経済性分析・初期条件!$K$46</f>
        <v>0</v>
      </c>
      <c r="AF252" s="507">
        <f>AF244*地域経済性分析・初期条件!$K$46</f>
        <v>0</v>
      </c>
      <c r="AG252" s="507">
        <f>AG244*地域経済性分析・初期条件!$K$46</f>
        <v>0</v>
      </c>
      <c r="AH252" s="507">
        <f>AH244*地域経済性分析・初期条件!$K$46</f>
        <v>0</v>
      </c>
      <c r="AI252" s="548">
        <f t="shared" si="143"/>
        <v>0</v>
      </c>
      <c r="AJ252" s="548">
        <f t="shared" si="144"/>
        <v>0</v>
      </c>
      <c r="AK252" s="510">
        <f t="shared" si="145"/>
        <v>0</v>
      </c>
    </row>
    <row r="253" spans="1:37" ht="11.5" x14ac:dyDescent="0.25">
      <c r="A253" s="546" t="str">
        <f>A243&amp;B253</f>
        <v>ガス・熱供給・水道業従業員の可処分所得（二次以降）</v>
      </c>
      <c r="B253" s="452" t="s">
        <v>344</v>
      </c>
      <c r="C253" s="465" t="s">
        <v>37</v>
      </c>
      <c r="D253" s="507">
        <f>D244*地域経済性分析・初期条件!$L$46</f>
        <v>0</v>
      </c>
      <c r="E253" s="507">
        <f>E244*地域経済性分析・初期条件!$L$46</f>
        <v>0</v>
      </c>
      <c r="F253" s="507">
        <f>F244*地域経済性分析・初期条件!$L$46</f>
        <v>0</v>
      </c>
      <c r="G253" s="507">
        <f>G244*地域経済性分析・初期条件!$L$46</f>
        <v>0</v>
      </c>
      <c r="H253" s="507">
        <f>H244*地域経済性分析・初期条件!$L$46</f>
        <v>0</v>
      </c>
      <c r="I253" s="507">
        <f>I244*地域経済性分析・初期条件!$L$46</f>
        <v>0</v>
      </c>
      <c r="J253" s="507">
        <f>J244*地域経済性分析・初期条件!$L$46</f>
        <v>0</v>
      </c>
      <c r="K253" s="507">
        <f>K244*地域経済性分析・初期条件!$L$46</f>
        <v>0</v>
      </c>
      <c r="L253" s="507">
        <f>L244*地域経済性分析・初期条件!$L$46</f>
        <v>0</v>
      </c>
      <c r="M253" s="507">
        <f>M244*地域経済性分析・初期条件!$L$46</f>
        <v>0</v>
      </c>
      <c r="N253" s="507">
        <f>N244*地域経済性分析・初期条件!$L$46</f>
        <v>0</v>
      </c>
      <c r="O253" s="507">
        <f>O244*地域経済性分析・初期条件!$L$46</f>
        <v>0</v>
      </c>
      <c r="P253" s="507">
        <f>P244*地域経済性分析・初期条件!$L$46</f>
        <v>0</v>
      </c>
      <c r="Q253" s="507">
        <f>Q244*地域経済性分析・初期条件!$L$46</f>
        <v>0</v>
      </c>
      <c r="R253" s="507">
        <f>R244*地域経済性分析・初期条件!$L$46</f>
        <v>0</v>
      </c>
      <c r="S253" s="507">
        <f>S244*地域経済性分析・初期条件!$L$46</f>
        <v>0</v>
      </c>
      <c r="T253" s="507">
        <f>T244*地域経済性分析・初期条件!$L$46</f>
        <v>0</v>
      </c>
      <c r="U253" s="507">
        <f>U244*地域経済性分析・初期条件!$L$46</f>
        <v>0</v>
      </c>
      <c r="V253" s="507">
        <f>V244*地域経済性分析・初期条件!$L$46</f>
        <v>0</v>
      </c>
      <c r="W253" s="507">
        <f>W244*地域経済性分析・初期条件!$L$46</f>
        <v>0</v>
      </c>
      <c r="X253" s="507">
        <f>X244*地域経済性分析・初期条件!$L$46</f>
        <v>0</v>
      </c>
      <c r="Y253" s="507">
        <f>Y244*地域経済性分析・初期条件!$L$46</f>
        <v>0</v>
      </c>
      <c r="Z253" s="507">
        <f>Z244*地域経済性分析・初期条件!$L$46</f>
        <v>0</v>
      </c>
      <c r="AA253" s="507">
        <f>AA244*地域経済性分析・初期条件!$L$46</f>
        <v>0</v>
      </c>
      <c r="AB253" s="507">
        <f>AB244*地域経済性分析・初期条件!$L$46</f>
        <v>0</v>
      </c>
      <c r="AC253" s="507">
        <f>AC244*地域経済性分析・初期条件!$L$46</f>
        <v>0</v>
      </c>
      <c r="AD253" s="507">
        <f>AD244*地域経済性分析・初期条件!$L$46</f>
        <v>0</v>
      </c>
      <c r="AE253" s="507">
        <f>AE244*地域経済性分析・初期条件!$L$46</f>
        <v>0</v>
      </c>
      <c r="AF253" s="507">
        <f>AF244*地域経済性分析・初期条件!$L$46</f>
        <v>0</v>
      </c>
      <c r="AG253" s="507">
        <f>AG244*地域経済性分析・初期条件!$L$46</f>
        <v>0</v>
      </c>
      <c r="AH253" s="507">
        <f>AH244*地域経済性分析・初期条件!$L$46</f>
        <v>0</v>
      </c>
      <c r="AI253" s="548">
        <f t="shared" si="143"/>
        <v>0</v>
      </c>
      <c r="AJ253" s="548">
        <f t="shared" si="144"/>
        <v>0</v>
      </c>
      <c r="AK253" s="510">
        <f t="shared" si="145"/>
        <v>0</v>
      </c>
    </row>
    <row r="254" spans="1:37" ht="11.5" x14ac:dyDescent="0.25">
      <c r="A254" s="546" t="str">
        <f>A243&amp;B254</f>
        <v>ガス・熱供給・水道業企業の税引後利益（二次以降）</v>
      </c>
      <c r="B254" s="452" t="s">
        <v>345</v>
      </c>
      <c r="C254" s="465" t="s">
        <v>37</v>
      </c>
      <c r="D254" s="507">
        <f>D244*地域経済性分析・初期条件!$M$46</f>
        <v>0</v>
      </c>
      <c r="E254" s="507">
        <f>E244*地域経済性分析・初期条件!$M$46</f>
        <v>0</v>
      </c>
      <c r="F254" s="507">
        <f>F244*地域経済性分析・初期条件!$M$46</f>
        <v>0</v>
      </c>
      <c r="G254" s="507">
        <f>G244*地域経済性分析・初期条件!$M$46</f>
        <v>0</v>
      </c>
      <c r="H254" s="507">
        <f>H244*地域経済性分析・初期条件!$M$46</f>
        <v>0</v>
      </c>
      <c r="I254" s="507">
        <f>I244*地域経済性分析・初期条件!$M$46</f>
        <v>0</v>
      </c>
      <c r="J254" s="507">
        <f>J244*地域経済性分析・初期条件!$M$46</f>
        <v>0</v>
      </c>
      <c r="K254" s="507">
        <f>K244*地域経済性分析・初期条件!$M$46</f>
        <v>0</v>
      </c>
      <c r="L254" s="507">
        <f>L244*地域経済性分析・初期条件!$M$46</f>
        <v>0</v>
      </c>
      <c r="M254" s="507">
        <f>M244*地域経済性分析・初期条件!$M$46</f>
        <v>0</v>
      </c>
      <c r="N254" s="507">
        <f>N244*地域経済性分析・初期条件!$M$46</f>
        <v>0</v>
      </c>
      <c r="O254" s="507">
        <f>O244*地域経済性分析・初期条件!$M$46</f>
        <v>0</v>
      </c>
      <c r="P254" s="507">
        <f>P244*地域経済性分析・初期条件!$M$46</f>
        <v>0</v>
      </c>
      <c r="Q254" s="507">
        <f>Q244*地域経済性分析・初期条件!$M$46</f>
        <v>0</v>
      </c>
      <c r="R254" s="507">
        <f>R244*地域経済性分析・初期条件!$M$46</f>
        <v>0</v>
      </c>
      <c r="S254" s="507">
        <f>S244*地域経済性分析・初期条件!$M$46</f>
        <v>0</v>
      </c>
      <c r="T254" s="507">
        <f>T244*地域経済性分析・初期条件!$M$46</f>
        <v>0</v>
      </c>
      <c r="U254" s="507">
        <f>U244*地域経済性分析・初期条件!$M$46</f>
        <v>0</v>
      </c>
      <c r="V254" s="507">
        <f>V244*地域経済性分析・初期条件!$M$46</f>
        <v>0</v>
      </c>
      <c r="W254" s="507">
        <f>W244*地域経済性分析・初期条件!$M$46</f>
        <v>0</v>
      </c>
      <c r="X254" s="507">
        <f>X244*地域経済性分析・初期条件!$M$46</f>
        <v>0</v>
      </c>
      <c r="Y254" s="507">
        <f>Y244*地域経済性分析・初期条件!$M$46</f>
        <v>0</v>
      </c>
      <c r="Z254" s="507">
        <f>Z244*地域経済性分析・初期条件!$M$46</f>
        <v>0</v>
      </c>
      <c r="AA254" s="507">
        <f>AA244*地域経済性分析・初期条件!$M$46</f>
        <v>0</v>
      </c>
      <c r="AB254" s="507">
        <f>AB244*地域経済性分析・初期条件!$M$46</f>
        <v>0</v>
      </c>
      <c r="AC254" s="507">
        <f>AC244*地域経済性分析・初期条件!$M$46</f>
        <v>0</v>
      </c>
      <c r="AD254" s="507">
        <f>AD244*地域経済性分析・初期条件!$M$46</f>
        <v>0</v>
      </c>
      <c r="AE254" s="507">
        <f>AE244*地域経済性分析・初期条件!$M$46</f>
        <v>0</v>
      </c>
      <c r="AF254" s="507">
        <f>AF244*地域経済性分析・初期条件!$M$46</f>
        <v>0</v>
      </c>
      <c r="AG254" s="507">
        <f>AG244*地域経済性分析・初期条件!$M$46</f>
        <v>0</v>
      </c>
      <c r="AH254" s="507">
        <f>AH244*地域経済性分析・初期条件!$M$46</f>
        <v>0</v>
      </c>
      <c r="AI254" s="548">
        <f t="shared" si="143"/>
        <v>0</v>
      </c>
      <c r="AJ254" s="548">
        <f t="shared" si="144"/>
        <v>0</v>
      </c>
      <c r="AK254" s="510">
        <f t="shared" si="145"/>
        <v>0</v>
      </c>
    </row>
    <row r="255" spans="1:37" ht="11.5" x14ac:dyDescent="0.25">
      <c r="A255" s="546" t="str">
        <f>A243&amp;B255</f>
        <v>ガス・熱供給・水道業都道府県税収（二次以降）</v>
      </c>
      <c r="B255" s="452" t="s">
        <v>346</v>
      </c>
      <c r="C255" s="465" t="s">
        <v>37</v>
      </c>
      <c r="D255" s="507">
        <f>D244*地域経済性分析・初期条件!$N$46</f>
        <v>0</v>
      </c>
      <c r="E255" s="507">
        <f>E244*地域経済性分析・初期条件!$N$46</f>
        <v>0</v>
      </c>
      <c r="F255" s="507">
        <f>F244*地域経済性分析・初期条件!$N$46</f>
        <v>0</v>
      </c>
      <c r="G255" s="507">
        <f>G244*地域経済性分析・初期条件!$N$46</f>
        <v>0</v>
      </c>
      <c r="H255" s="507">
        <f>H244*地域経済性分析・初期条件!$N$46</f>
        <v>0</v>
      </c>
      <c r="I255" s="507">
        <f>I244*地域経済性分析・初期条件!$N$46</f>
        <v>0</v>
      </c>
      <c r="J255" s="507">
        <f>J244*地域経済性分析・初期条件!$N$46</f>
        <v>0</v>
      </c>
      <c r="K255" s="507">
        <f>K244*地域経済性分析・初期条件!$N$46</f>
        <v>0</v>
      </c>
      <c r="L255" s="507">
        <f>L244*地域経済性分析・初期条件!$N$46</f>
        <v>0</v>
      </c>
      <c r="M255" s="507">
        <f>M244*地域経済性分析・初期条件!$N$46</f>
        <v>0</v>
      </c>
      <c r="N255" s="507">
        <f>N244*地域経済性分析・初期条件!$N$46</f>
        <v>0</v>
      </c>
      <c r="O255" s="507">
        <f>O244*地域経済性分析・初期条件!$N$46</f>
        <v>0</v>
      </c>
      <c r="P255" s="507">
        <f>P244*地域経済性分析・初期条件!$N$46</f>
        <v>0</v>
      </c>
      <c r="Q255" s="507">
        <f>Q244*地域経済性分析・初期条件!$N$46</f>
        <v>0</v>
      </c>
      <c r="R255" s="507">
        <f>R244*地域経済性分析・初期条件!$N$46</f>
        <v>0</v>
      </c>
      <c r="S255" s="507">
        <f>S244*地域経済性分析・初期条件!$N$46</f>
        <v>0</v>
      </c>
      <c r="T255" s="507">
        <f>T244*地域経済性分析・初期条件!$N$46</f>
        <v>0</v>
      </c>
      <c r="U255" s="507">
        <f>U244*地域経済性分析・初期条件!$N$46</f>
        <v>0</v>
      </c>
      <c r="V255" s="507">
        <f>V244*地域経済性分析・初期条件!$N$46</f>
        <v>0</v>
      </c>
      <c r="W255" s="507">
        <f>W244*地域経済性分析・初期条件!$N$46</f>
        <v>0</v>
      </c>
      <c r="X255" s="507">
        <f>X244*地域経済性分析・初期条件!$N$46</f>
        <v>0</v>
      </c>
      <c r="Y255" s="507">
        <f>Y244*地域経済性分析・初期条件!$N$46</f>
        <v>0</v>
      </c>
      <c r="Z255" s="507">
        <f>Z244*地域経済性分析・初期条件!$N$46</f>
        <v>0</v>
      </c>
      <c r="AA255" s="507">
        <f>AA244*地域経済性分析・初期条件!$N$46</f>
        <v>0</v>
      </c>
      <c r="AB255" s="507">
        <f>AB244*地域経済性分析・初期条件!$N$46</f>
        <v>0</v>
      </c>
      <c r="AC255" s="507">
        <f>AC244*地域経済性分析・初期条件!$N$46</f>
        <v>0</v>
      </c>
      <c r="AD255" s="507">
        <f>AD244*地域経済性分析・初期条件!$N$46</f>
        <v>0</v>
      </c>
      <c r="AE255" s="507">
        <f>AE244*地域経済性分析・初期条件!$N$46</f>
        <v>0</v>
      </c>
      <c r="AF255" s="507">
        <f>AF244*地域経済性分析・初期条件!$N$46</f>
        <v>0</v>
      </c>
      <c r="AG255" s="507">
        <f>AG244*地域経済性分析・初期条件!$N$46</f>
        <v>0</v>
      </c>
      <c r="AH255" s="507">
        <f>AH244*地域経済性分析・初期条件!$N$46</f>
        <v>0</v>
      </c>
      <c r="AI255" s="548">
        <f t="shared" si="143"/>
        <v>0</v>
      </c>
      <c r="AJ255" s="548">
        <f t="shared" si="144"/>
        <v>0</v>
      </c>
      <c r="AK255" s="510">
        <f t="shared" si="145"/>
        <v>0</v>
      </c>
    </row>
    <row r="256" spans="1:37" ht="11.5" x14ac:dyDescent="0.25">
      <c r="A256" s="546" t="str">
        <f>A243&amp;B256</f>
        <v>ガス・熱供給・水道業市町村税収（二次以降）</v>
      </c>
      <c r="B256" s="452" t="s">
        <v>347</v>
      </c>
      <c r="C256" s="465" t="s">
        <v>37</v>
      </c>
      <c r="D256" s="507">
        <f>D244*地域経済性分析・初期条件!$O$46</f>
        <v>0</v>
      </c>
      <c r="E256" s="507">
        <f>E244*地域経済性分析・初期条件!$O$46</f>
        <v>0</v>
      </c>
      <c r="F256" s="507">
        <f>F244*地域経済性分析・初期条件!$O$46</f>
        <v>0</v>
      </c>
      <c r="G256" s="507">
        <f>G244*地域経済性分析・初期条件!$O$46</f>
        <v>0</v>
      </c>
      <c r="H256" s="507">
        <f>H244*地域経済性分析・初期条件!$O$46</f>
        <v>0</v>
      </c>
      <c r="I256" s="507">
        <f>I244*地域経済性分析・初期条件!$O$46</f>
        <v>0</v>
      </c>
      <c r="J256" s="507">
        <f>J244*地域経済性分析・初期条件!$O$46</f>
        <v>0</v>
      </c>
      <c r="K256" s="507">
        <f>K244*地域経済性分析・初期条件!$O$46</f>
        <v>0</v>
      </c>
      <c r="L256" s="507">
        <f>L244*地域経済性分析・初期条件!$O$46</f>
        <v>0</v>
      </c>
      <c r="M256" s="507">
        <f>M244*地域経済性分析・初期条件!$O$46</f>
        <v>0</v>
      </c>
      <c r="N256" s="507">
        <f>N244*地域経済性分析・初期条件!$O$46</f>
        <v>0</v>
      </c>
      <c r="O256" s="507">
        <f>O244*地域経済性分析・初期条件!$O$46</f>
        <v>0</v>
      </c>
      <c r="P256" s="507">
        <f>P244*地域経済性分析・初期条件!$O$46</f>
        <v>0</v>
      </c>
      <c r="Q256" s="507">
        <f>Q244*地域経済性分析・初期条件!$O$46</f>
        <v>0</v>
      </c>
      <c r="R256" s="507">
        <f>R244*地域経済性分析・初期条件!$O$46</f>
        <v>0</v>
      </c>
      <c r="S256" s="507">
        <f>S244*地域経済性分析・初期条件!$O$46</f>
        <v>0</v>
      </c>
      <c r="T256" s="507">
        <f>T244*地域経済性分析・初期条件!$O$46</f>
        <v>0</v>
      </c>
      <c r="U256" s="507">
        <f>U244*地域経済性分析・初期条件!$O$46</f>
        <v>0</v>
      </c>
      <c r="V256" s="507">
        <f>V244*地域経済性分析・初期条件!$O$46</f>
        <v>0</v>
      </c>
      <c r="W256" s="507">
        <f>W244*地域経済性分析・初期条件!$O$46</f>
        <v>0</v>
      </c>
      <c r="X256" s="507">
        <f>X244*地域経済性分析・初期条件!$O$46</f>
        <v>0</v>
      </c>
      <c r="Y256" s="507">
        <f>Y244*地域経済性分析・初期条件!$O$46</f>
        <v>0</v>
      </c>
      <c r="Z256" s="507">
        <f>Z244*地域経済性分析・初期条件!$O$46</f>
        <v>0</v>
      </c>
      <c r="AA256" s="507">
        <f>AA244*地域経済性分析・初期条件!$O$46</f>
        <v>0</v>
      </c>
      <c r="AB256" s="507">
        <f>AB244*地域経済性分析・初期条件!$O$46</f>
        <v>0</v>
      </c>
      <c r="AC256" s="507">
        <f>AC244*地域経済性分析・初期条件!$O$46</f>
        <v>0</v>
      </c>
      <c r="AD256" s="507">
        <f>AD244*地域経済性分析・初期条件!$O$46</f>
        <v>0</v>
      </c>
      <c r="AE256" s="507">
        <f>AE244*地域経済性分析・初期条件!$O$46</f>
        <v>0</v>
      </c>
      <c r="AF256" s="507">
        <f>AF244*地域経済性分析・初期条件!$O$46</f>
        <v>0</v>
      </c>
      <c r="AG256" s="507">
        <f>AG244*地域経済性分析・初期条件!$O$46</f>
        <v>0</v>
      </c>
      <c r="AH256" s="507">
        <f>AH244*地域経済性分析・初期条件!$O$46</f>
        <v>0</v>
      </c>
      <c r="AI256" s="548">
        <f t="shared" si="143"/>
        <v>0</v>
      </c>
      <c r="AJ256" s="548">
        <f t="shared" si="144"/>
        <v>0</v>
      </c>
      <c r="AK256" s="510">
        <f t="shared" si="145"/>
        <v>0</v>
      </c>
    </row>
    <row r="257" spans="1:37" ht="11.5" x14ac:dyDescent="0.25">
      <c r="A257" s="502">
        <f>地域経済性分析・初期条件!$G$47</f>
        <v>0</v>
      </c>
      <c r="C257" s="465"/>
      <c r="D257" s="507"/>
      <c r="E257" s="507"/>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548"/>
      <c r="AJ257" s="548"/>
      <c r="AK257" s="510"/>
    </row>
    <row r="258" spans="1:37" ht="11.5" x14ac:dyDescent="0.25">
      <c r="A258" s="546" t="str">
        <f>A257&amp;B258</f>
        <v>0売上（税別）</v>
      </c>
      <c r="B258" s="452" t="s">
        <v>1047</v>
      </c>
      <c r="C258" s="464" t="s">
        <v>37</v>
      </c>
      <c r="D258" s="507">
        <f>D228*地域経済性分析・初期条件!$F$47</f>
        <v>0</v>
      </c>
      <c r="E258" s="507">
        <f>E228*地域経済性分析・初期条件!$F$47</f>
        <v>0</v>
      </c>
      <c r="F258" s="507">
        <f>F228*地域経済性分析・初期条件!$F$47</f>
        <v>0</v>
      </c>
      <c r="G258" s="507">
        <f>G228*地域経済性分析・初期条件!$F$47</f>
        <v>0</v>
      </c>
      <c r="H258" s="507">
        <f>H228*地域経済性分析・初期条件!$F$47</f>
        <v>0</v>
      </c>
      <c r="I258" s="507">
        <f>I228*地域経済性分析・初期条件!$F$47</f>
        <v>0</v>
      </c>
      <c r="J258" s="507">
        <f>J228*地域経済性分析・初期条件!$F$47</f>
        <v>0</v>
      </c>
      <c r="K258" s="507">
        <f>K228*地域経済性分析・初期条件!$F$47</f>
        <v>0</v>
      </c>
      <c r="L258" s="507">
        <f>L228*地域経済性分析・初期条件!$F$47</f>
        <v>0</v>
      </c>
      <c r="M258" s="507">
        <f>M228*地域経済性分析・初期条件!$F$47</f>
        <v>0</v>
      </c>
      <c r="N258" s="507">
        <f>N228*地域経済性分析・初期条件!$F$47</f>
        <v>0</v>
      </c>
      <c r="O258" s="507">
        <f>O228*地域経済性分析・初期条件!$F$47</f>
        <v>0</v>
      </c>
      <c r="P258" s="507">
        <f>P228*地域経済性分析・初期条件!$F$47</f>
        <v>0</v>
      </c>
      <c r="Q258" s="507">
        <f>Q228*地域経済性分析・初期条件!$F$47</f>
        <v>0</v>
      </c>
      <c r="R258" s="507">
        <f>R228*地域経済性分析・初期条件!$F$47</f>
        <v>0</v>
      </c>
      <c r="S258" s="507">
        <f>S228*地域経済性分析・初期条件!$F$47</f>
        <v>0</v>
      </c>
      <c r="T258" s="507">
        <f>T228*地域経済性分析・初期条件!$F$47</f>
        <v>0</v>
      </c>
      <c r="U258" s="507">
        <f>U228*地域経済性分析・初期条件!$F$47</f>
        <v>0</v>
      </c>
      <c r="V258" s="507">
        <f>V228*地域経済性分析・初期条件!$F$47</f>
        <v>0</v>
      </c>
      <c r="W258" s="507">
        <f>W228*地域経済性分析・初期条件!$F$47</f>
        <v>0</v>
      </c>
      <c r="X258" s="507">
        <f>X228*地域経済性分析・初期条件!$F$47</f>
        <v>0</v>
      </c>
      <c r="Y258" s="507">
        <f>Y228*地域経済性分析・初期条件!$F$47</f>
        <v>0</v>
      </c>
      <c r="Z258" s="507">
        <f>Z228*地域経済性分析・初期条件!$F$47</f>
        <v>0</v>
      </c>
      <c r="AA258" s="507">
        <f>AA228*地域経済性分析・初期条件!$F$47</f>
        <v>0</v>
      </c>
      <c r="AB258" s="507">
        <f>AB228*地域経済性分析・初期条件!$F$47</f>
        <v>0</v>
      </c>
      <c r="AC258" s="507">
        <f>AC228*地域経済性分析・初期条件!$F$47</f>
        <v>0</v>
      </c>
      <c r="AD258" s="507">
        <f>AD228*地域経済性分析・初期条件!$F$47</f>
        <v>0</v>
      </c>
      <c r="AE258" s="507">
        <f>AE228*地域経済性分析・初期条件!$F$47</f>
        <v>0</v>
      </c>
      <c r="AF258" s="507">
        <f>AF228*地域経済性分析・初期条件!$F$47</f>
        <v>0</v>
      </c>
      <c r="AG258" s="507">
        <f>AG228*地域経済性分析・初期条件!$F$47</f>
        <v>0</v>
      </c>
      <c r="AH258" s="507">
        <f>AH228*地域経済性分析・初期条件!$F$47</f>
        <v>0</v>
      </c>
      <c r="AI258" s="548">
        <f t="shared" ref="AI258:AI270" si="146">SUM(D258:N258)</f>
        <v>0</v>
      </c>
      <c r="AJ258" s="548">
        <f>SUM(D258:X258)</f>
        <v>0</v>
      </c>
      <c r="AK258" s="510">
        <f>SUM(D258:AH258)</f>
        <v>0</v>
      </c>
    </row>
    <row r="259" spans="1:37" ht="11.5" x14ac:dyDescent="0.25">
      <c r="A259" s="546" t="str">
        <f>A257&amp;B259</f>
        <v>0消費税（都道府県）</v>
      </c>
      <c r="B259" s="452" t="s">
        <v>263</v>
      </c>
      <c r="C259" s="464" t="s">
        <v>37</v>
      </c>
      <c r="D259" s="507">
        <f>D258*波及効果シート!$D$72</f>
        <v>0</v>
      </c>
      <c r="E259" s="507">
        <f>E258*波及効果シート!$D$72</f>
        <v>0</v>
      </c>
      <c r="F259" s="507">
        <f>F258*波及効果シート!$D$72</f>
        <v>0</v>
      </c>
      <c r="G259" s="507">
        <f>G258*波及効果シート!$D$72</f>
        <v>0</v>
      </c>
      <c r="H259" s="507">
        <f>H258*波及効果シート!$D$72</f>
        <v>0</v>
      </c>
      <c r="I259" s="507">
        <f>I258*波及効果シート!$D$72</f>
        <v>0</v>
      </c>
      <c r="J259" s="507">
        <f>J258*波及効果シート!$D$72</f>
        <v>0</v>
      </c>
      <c r="K259" s="507">
        <f>K258*波及効果シート!$D$72</f>
        <v>0</v>
      </c>
      <c r="L259" s="507">
        <f>L258*波及効果シート!$D$72</f>
        <v>0</v>
      </c>
      <c r="M259" s="507">
        <f>M258*波及効果シート!$D$72</f>
        <v>0</v>
      </c>
      <c r="N259" s="507">
        <f>N258*波及効果シート!$D$72</f>
        <v>0</v>
      </c>
      <c r="O259" s="507">
        <f>O258*波及効果シート!$D$72</f>
        <v>0</v>
      </c>
      <c r="P259" s="507">
        <f>P258*波及効果シート!$D$72</f>
        <v>0</v>
      </c>
      <c r="Q259" s="507">
        <f>Q258*波及効果シート!$D$72</f>
        <v>0</v>
      </c>
      <c r="R259" s="507">
        <f>R258*波及効果シート!$D$72</f>
        <v>0</v>
      </c>
      <c r="S259" s="507">
        <f>S258*波及効果シート!$D$72</f>
        <v>0</v>
      </c>
      <c r="T259" s="507">
        <f>T258*波及効果シート!$D$72</f>
        <v>0</v>
      </c>
      <c r="U259" s="507">
        <f>U258*波及効果シート!$D$72</f>
        <v>0</v>
      </c>
      <c r="V259" s="507">
        <f>V258*波及効果シート!$D$72</f>
        <v>0</v>
      </c>
      <c r="W259" s="507">
        <f>W258*波及効果シート!$D$72</f>
        <v>0</v>
      </c>
      <c r="X259" s="507">
        <f>X258*波及効果シート!$D$72</f>
        <v>0</v>
      </c>
      <c r="Y259" s="507">
        <f>Y258*波及効果シート!$D$72</f>
        <v>0</v>
      </c>
      <c r="Z259" s="507">
        <f>Z258*波及効果シート!$D$72</f>
        <v>0</v>
      </c>
      <c r="AA259" s="507">
        <f>AA258*波及効果シート!$D$72</f>
        <v>0</v>
      </c>
      <c r="AB259" s="507">
        <f>AB258*波及効果シート!$D$72</f>
        <v>0</v>
      </c>
      <c r="AC259" s="507">
        <f>AC258*波及効果シート!$D$72</f>
        <v>0</v>
      </c>
      <c r="AD259" s="507">
        <f>AD258*波及効果シート!$D$72</f>
        <v>0</v>
      </c>
      <c r="AE259" s="507">
        <f>AE258*波及効果シート!$D$72</f>
        <v>0</v>
      </c>
      <c r="AF259" s="507">
        <f>AF258*波及効果シート!$D$72</f>
        <v>0</v>
      </c>
      <c r="AG259" s="507">
        <f>AG258*波及効果シート!$D$72</f>
        <v>0</v>
      </c>
      <c r="AH259" s="507">
        <f>AH258*波及効果シート!$D$72</f>
        <v>0</v>
      </c>
      <c r="AI259" s="548">
        <f t="shared" si="146"/>
        <v>0</v>
      </c>
      <c r="AJ259" s="548">
        <f>SUM(D259:X259)</f>
        <v>0</v>
      </c>
      <c r="AK259" s="510">
        <f>SUM(D259:AH259)</f>
        <v>0</v>
      </c>
    </row>
    <row r="260" spans="1:37" ht="11.5" x14ac:dyDescent="0.25">
      <c r="A260" s="546" t="str">
        <f>A257&amp;B260</f>
        <v>0消費税（市町村）</v>
      </c>
      <c r="B260" s="452" t="s">
        <v>1048</v>
      </c>
      <c r="C260" s="465" t="s">
        <v>37</v>
      </c>
      <c r="D260" s="507">
        <f>D258*波及効果シート!$D$74</f>
        <v>0</v>
      </c>
      <c r="E260" s="507">
        <f>E258*波及効果シート!$D$74</f>
        <v>0</v>
      </c>
      <c r="F260" s="507">
        <f>F258*波及効果シート!$D$74</f>
        <v>0</v>
      </c>
      <c r="G260" s="507">
        <f>G258*波及効果シート!$D$74</f>
        <v>0</v>
      </c>
      <c r="H260" s="507">
        <f>H258*波及効果シート!$D$74</f>
        <v>0</v>
      </c>
      <c r="I260" s="507">
        <f>I258*波及効果シート!$D$74</f>
        <v>0</v>
      </c>
      <c r="J260" s="507">
        <f>J258*波及効果シート!$D$74</f>
        <v>0</v>
      </c>
      <c r="K260" s="507">
        <f>K258*波及効果シート!$D$74</f>
        <v>0</v>
      </c>
      <c r="L260" s="507">
        <f>L258*波及効果シート!$D$74</f>
        <v>0</v>
      </c>
      <c r="M260" s="507">
        <f>M258*波及効果シート!$D$74</f>
        <v>0</v>
      </c>
      <c r="N260" s="507">
        <f>N258*波及効果シート!$D$74</f>
        <v>0</v>
      </c>
      <c r="O260" s="507">
        <f>O258*波及効果シート!$D$74</f>
        <v>0</v>
      </c>
      <c r="P260" s="507">
        <f>P258*波及効果シート!$D$74</f>
        <v>0</v>
      </c>
      <c r="Q260" s="507">
        <f>Q258*波及効果シート!$D$74</f>
        <v>0</v>
      </c>
      <c r="R260" s="507">
        <f>R258*波及効果シート!$D$74</f>
        <v>0</v>
      </c>
      <c r="S260" s="507">
        <f>S258*波及効果シート!$D$74</f>
        <v>0</v>
      </c>
      <c r="T260" s="507">
        <f>T258*波及効果シート!$D$74</f>
        <v>0</v>
      </c>
      <c r="U260" s="507">
        <f>U258*波及効果シート!$D$74</f>
        <v>0</v>
      </c>
      <c r="V260" s="507">
        <f>V258*波及効果シート!$D$74</f>
        <v>0</v>
      </c>
      <c r="W260" s="507">
        <f>W258*波及効果シート!$D$74</f>
        <v>0</v>
      </c>
      <c r="X260" s="507">
        <f>X258*波及効果シート!$D$74</f>
        <v>0</v>
      </c>
      <c r="Y260" s="507">
        <f>Y258*波及効果シート!$D$74</f>
        <v>0</v>
      </c>
      <c r="Z260" s="507">
        <f>Z258*波及効果シート!$D$74</f>
        <v>0</v>
      </c>
      <c r="AA260" s="507">
        <f>AA258*波及効果シート!$D$74</f>
        <v>0</v>
      </c>
      <c r="AB260" s="507">
        <f>AB258*波及効果シート!$D$74</f>
        <v>0</v>
      </c>
      <c r="AC260" s="507">
        <f>AC258*波及効果シート!$D$74</f>
        <v>0</v>
      </c>
      <c r="AD260" s="507">
        <f>AD258*波及効果シート!$D$74</f>
        <v>0</v>
      </c>
      <c r="AE260" s="507">
        <f>AE258*波及効果シート!$D$74</f>
        <v>0</v>
      </c>
      <c r="AF260" s="507">
        <f>AF258*波及効果シート!$D$74</f>
        <v>0</v>
      </c>
      <c r="AG260" s="507">
        <f>AG258*波及効果シート!$D$74</f>
        <v>0</v>
      </c>
      <c r="AH260" s="507">
        <f>AH258*波及効果シート!$D$74</f>
        <v>0</v>
      </c>
      <c r="AI260" s="548">
        <f t="shared" si="146"/>
        <v>0</v>
      </c>
      <c r="AJ260" s="548">
        <f>SUM(D260:X260)</f>
        <v>0</v>
      </c>
      <c r="AK260" s="510">
        <f>SUM(D260:AH260)</f>
        <v>0</v>
      </c>
    </row>
    <row r="261" spans="1:37" ht="11.5" x14ac:dyDescent="0.25">
      <c r="A261" s="546" t="str">
        <f>A257&amp;B261</f>
        <v>0所得税（国税）</v>
      </c>
      <c r="B261" s="452" t="s">
        <v>356</v>
      </c>
      <c r="C261" s="465" t="s">
        <v>37</v>
      </c>
      <c r="D261" s="507">
        <f>D258*地域経済性分析・初期条件!$P$47</f>
        <v>0</v>
      </c>
      <c r="E261" s="507">
        <f>E258*地域経済性分析・初期条件!$P$47</f>
        <v>0</v>
      </c>
      <c r="F261" s="507">
        <f>F258*地域経済性分析・初期条件!$P$47</f>
        <v>0</v>
      </c>
      <c r="G261" s="507">
        <f>G258*地域経済性分析・初期条件!$P$47</f>
        <v>0</v>
      </c>
      <c r="H261" s="507">
        <f>H258*地域経済性分析・初期条件!$P$47</f>
        <v>0</v>
      </c>
      <c r="I261" s="507">
        <f>I258*地域経済性分析・初期条件!$P$47</f>
        <v>0</v>
      </c>
      <c r="J261" s="507">
        <f>J258*地域経済性分析・初期条件!$P$47</f>
        <v>0</v>
      </c>
      <c r="K261" s="507">
        <f>K258*地域経済性分析・初期条件!$P$47</f>
        <v>0</v>
      </c>
      <c r="L261" s="507">
        <f>L258*地域経済性分析・初期条件!$P$47</f>
        <v>0</v>
      </c>
      <c r="M261" s="507">
        <f>M258*地域経済性分析・初期条件!$P$47</f>
        <v>0</v>
      </c>
      <c r="N261" s="507">
        <f>N258*地域経済性分析・初期条件!$P$47</f>
        <v>0</v>
      </c>
      <c r="O261" s="507">
        <f>O258*地域経済性分析・初期条件!$P$47</f>
        <v>0</v>
      </c>
      <c r="P261" s="507">
        <f>P258*地域経済性分析・初期条件!$P$47</f>
        <v>0</v>
      </c>
      <c r="Q261" s="507">
        <f>Q258*地域経済性分析・初期条件!$P$47</f>
        <v>0</v>
      </c>
      <c r="R261" s="507">
        <f>R258*地域経済性分析・初期条件!$P$47</f>
        <v>0</v>
      </c>
      <c r="S261" s="507">
        <f>S258*地域経済性分析・初期条件!$P$47</f>
        <v>0</v>
      </c>
      <c r="T261" s="507">
        <f>T258*地域経済性分析・初期条件!$P$47</f>
        <v>0</v>
      </c>
      <c r="U261" s="507">
        <f>U258*地域経済性分析・初期条件!$P$47</f>
        <v>0</v>
      </c>
      <c r="V261" s="507">
        <f>V258*地域経済性分析・初期条件!$P$47</f>
        <v>0</v>
      </c>
      <c r="W261" s="507">
        <f>W258*地域経済性分析・初期条件!$P$47</f>
        <v>0</v>
      </c>
      <c r="X261" s="507">
        <f>X258*地域経済性分析・初期条件!$P$47</f>
        <v>0</v>
      </c>
      <c r="Y261" s="507">
        <f>Y258*地域経済性分析・初期条件!$P$47</f>
        <v>0</v>
      </c>
      <c r="Z261" s="507">
        <f>Z258*地域経済性分析・初期条件!$P$47</f>
        <v>0</v>
      </c>
      <c r="AA261" s="507">
        <f>AA258*地域経済性分析・初期条件!$P$47</f>
        <v>0</v>
      </c>
      <c r="AB261" s="507">
        <f>AB258*地域経済性分析・初期条件!$P$47</f>
        <v>0</v>
      </c>
      <c r="AC261" s="507">
        <f>AC258*地域経済性分析・初期条件!$P$47</f>
        <v>0</v>
      </c>
      <c r="AD261" s="507">
        <f>AD258*地域経済性分析・初期条件!$P$47</f>
        <v>0</v>
      </c>
      <c r="AE261" s="507">
        <f>AE258*地域経済性分析・初期条件!$P$47</f>
        <v>0</v>
      </c>
      <c r="AF261" s="507">
        <f>AF258*地域経済性分析・初期条件!$P$47</f>
        <v>0</v>
      </c>
      <c r="AG261" s="507">
        <f>AG258*地域経済性分析・初期条件!$P$47</f>
        <v>0</v>
      </c>
      <c r="AH261" s="507">
        <f>AH258*地域経済性分析・初期条件!$P$47</f>
        <v>0</v>
      </c>
      <c r="AI261" s="548">
        <f t="shared" si="146"/>
        <v>0</v>
      </c>
      <c r="AJ261" s="548">
        <f t="shared" ref="AJ261:AJ270" si="147">SUM(D261:X261)</f>
        <v>0</v>
      </c>
      <c r="AK261" s="510">
        <f t="shared" ref="AK261:AK270" si="148">SUM(D261:AH261)</f>
        <v>0</v>
      </c>
    </row>
    <row r="262" spans="1:37" ht="11.5" x14ac:dyDescent="0.25">
      <c r="A262" s="546" t="str">
        <f>A257&amp;B262</f>
        <v>0法人税（国税）</v>
      </c>
      <c r="B262" s="452" t="s">
        <v>355</v>
      </c>
      <c r="C262" s="465" t="s">
        <v>37</v>
      </c>
      <c r="D262" s="507">
        <f>D258*地域経済性分析・初期条件!$Q$47</f>
        <v>0</v>
      </c>
      <c r="E262" s="507">
        <f>E258*地域経済性分析・初期条件!$Q$47</f>
        <v>0</v>
      </c>
      <c r="F262" s="507">
        <f>F258*地域経済性分析・初期条件!$Q$47</f>
        <v>0</v>
      </c>
      <c r="G262" s="507">
        <f>G258*地域経済性分析・初期条件!$Q$47</f>
        <v>0</v>
      </c>
      <c r="H262" s="507">
        <f>H258*地域経済性分析・初期条件!$Q$47</f>
        <v>0</v>
      </c>
      <c r="I262" s="507">
        <f>I258*地域経済性分析・初期条件!$Q$47</f>
        <v>0</v>
      </c>
      <c r="J262" s="507">
        <f>J258*地域経済性分析・初期条件!$Q$47</f>
        <v>0</v>
      </c>
      <c r="K262" s="507">
        <f>K258*地域経済性分析・初期条件!$Q$47</f>
        <v>0</v>
      </c>
      <c r="L262" s="507">
        <f>L258*地域経済性分析・初期条件!$Q$47</f>
        <v>0</v>
      </c>
      <c r="M262" s="507">
        <f>M258*地域経済性分析・初期条件!$Q$47</f>
        <v>0</v>
      </c>
      <c r="N262" s="507">
        <f>N258*地域経済性分析・初期条件!$Q$47</f>
        <v>0</v>
      </c>
      <c r="O262" s="507">
        <f>O258*地域経済性分析・初期条件!$Q$47</f>
        <v>0</v>
      </c>
      <c r="P262" s="507">
        <f>P258*地域経済性分析・初期条件!$Q$47</f>
        <v>0</v>
      </c>
      <c r="Q262" s="507">
        <f>Q258*地域経済性分析・初期条件!$Q$47</f>
        <v>0</v>
      </c>
      <c r="R262" s="507">
        <f>R258*地域経済性分析・初期条件!$Q$47</f>
        <v>0</v>
      </c>
      <c r="S262" s="507">
        <f>S258*地域経済性分析・初期条件!$Q$47</f>
        <v>0</v>
      </c>
      <c r="T262" s="507">
        <f>T258*地域経済性分析・初期条件!$Q$47</f>
        <v>0</v>
      </c>
      <c r="U262" s="507">
        <f>U258*地域経済性分析・初期条件!$Q$47</f>
        <v>0</v>
      </c>
      <c r="V262" s="507">
        <f>V258*地域経済性分析・初期条件!$Q$47</f>
        <v>0</v>
      </c>
      <c r="W262" s="507">
        <f>W258*地域経済性分析・初期条件!$Q$47</f>
        <v>0</v>
      </c>
      <c r="X262" s="507">
        <f>X258*地域経済性分析・初期条件!$Q$47</f>
        <v>0</v>
      </c>
      <c r="Y262" s="507">
        <f>Y258*地域経済性分析・初期条件!$Q$47</f>
        <v>0</v>
      </c>
      <c r="Z262" s="507">
        <f>Z258*地域経済性分析・初期条件!$Q$47</f>
        <v>0</v>
      </c>
      <c r="AA262" s="507">
        <f>AA258*地域経済性分析・初期条件!$Q$47</f>
        <v>0</v>
      </c>
      <c r="AB262" s="507">
        <f>AB258*地域経済性分析・初期条件!$Q$47</f>
        <v>0</v>
      </c>
      <c r="AC262" s="507">
        <f>AC258*地域経済性分析・初期条件!$Q$47</f>
        <v>0</v>
      </c>
      <c r="AD262" s="507">
        <f>AD258*地域経済性分析・初期条件!$Q$47</f>
        <v>0</v>
      </c>
      <c r="AE262" s="507">
        <f>AE258*地域経済性分析・初期条件!$Q$47</f>
        <v>0</v>
      </c>
      <c r="AF262" s="507">
        <f>AF258*地域経済性分析・初期条件!$Q$47</f>
        <v>0</v>
      </c>
      <c r="AG262" s="507">
        <f>AG258*地域経済性分析・初期条件!$Q$47</f>
        <v>0</v>
      </c>
      <c r="AH262" s="507">
        <f>AH258*地域経済性分析・初期条件!$Q$47</f>
        <v>0</v>
      </c>
      <c r="AI262" s="548">
        <f t="shared" si="146"/>
        <v>0</v>
      </c>
      <c r="AJ262" s="548">
        <f t="shared" si="147"/>
        <v>0</v>
      </c>
      <c r="AK262" s="510">
        <f t="shared" si="148"/>
        <v>0</v>
      </c>
    </row>
    <row r="263" spans="1:37" ht="11.5" x14ac:dyDescent="0.25">
      <c r="A263" s="546" t="str">
        <f>A257&amp;B263</f>
        <v>0従業員の可処分所得（一次）</v>
      </c>
      <c r="B263" s="452" t="s">
        <v>339</v>
      </c>
      <c r="C263" s="464" t="s">
        <v>37</v>
      </c>
      <c r="D263" s="507">
        <f>D258*地域経済性分析・初期条件!$H$47</f>
        <v>0</v>
      </c>
      <c r="E263" s="507">
        <f>E258*地域経済性分析・初期条件!$H$47</f>
        <v>0</v>
      </c>
      <c r="F263" s="478">
        <f>F258*地域経済性分析・初期条件!$H$47</f>
        <v>0</v>
      </c>
      <c r="G263" s="478">
        <f>G258*地域経済性分析・初期条件!$H$47</f>
        <v>0</v>
      </c>
      <c r="H263" s="478">
        <f>H258*地域経済性分析・初期条件!$H$47</f>
        <v>0</v>
      </c>
      <c r="I263" s="478">
        <f>I258*地域経済性分析・初期条件!$H$47</f>
        <v>0</v>
      </c>
      <c r="J263" s="478">
        <f>J258*地域経済性分析・初期条件!$H$47</f>
        <v>0</v>
      </c>
      <c r="K263" s="478">
        <f>K258*地域経済性分析・初期条件!$H$47</f>
        <v>0</v>
      </c>
      <c r="L263" s="478">
        <f>L258*地域経済性分析・初期条件!$H$47</f>
        <v>0</v>
      </c>
      <c r="M263" s="478">
        <f>M258*地域経済性分析・初期条件!$H$47</f>
        <v>0</v>
      </c>
      <c r="N263" s="478">
        <f>N258*地域経済性分析・初期条件!$H$47</f>
        <v>0</v>
      </c>
      <c r="O263" s="478">
        <f>O258*地域経済性分析・初期条件!$H$47</f>
        <v>0</v>
      </c>
      <c r="P263" s="478">
        <f>P258*地域経済性分析・初期条件!$H$47</f>
        <v>0</v>
      </c>
      <c r="Q263" s="478">
        <f>Q258*地域経済性分析・初期条件!$H$47</f>
        <v>0</v>
      </c>
      <c r="R263" s="478">
        <f>R258*地域経済性分析・初期条件!$H$47</f>
        <v>0</v>
      </c>
      <c r="S263" s="478">
        <f>S258*地域経済性分析・初期条件!$H$47</f>
        <v>0</v>
      </c>
      <c r="T263" s="478">
        <f>T258*地域経済性分析・初期条件!$H$47</f>
        <v>0</v>
      </c>
      <c r="U263" s="478">
        <f>U258*地域経済性分析・初期条件!$H$47</f>
        <v>0</v>
      </c>
      <c r="V263" s="478">
        <f>V258*地域経済性分析・初期条件!$H$47</f>
        <v>0</v>
      </c>
      <c r="W263" s="478">
        <f>W258*地域経済性分析・初期条件!$H$47</f>
        <v>0</v>
      </c>
      <c r="X263" s="478">
        <f>X258*地域経済性分析・初期条件!$H$47</f>
        <v>0</v>
      </c>
      <c r="Y263" s="478">
        <f>Y258*地域経済性分析・初期条件!$H$47</f>
        <v>0</v>
      </c>
      <c r="Z263" s="478">
        <f>Z258*地域経済性分析・初期条件!$H$47</f>
        <v>0</v>
      </c>
      <c r="AA263" s="478">
        <f>AA258*地域経済性分析・初期条件!$H$47</f>
        <v>0</v>
      </c>
      <c r="AB263" s="478">
        <f>AB258*地域経済性分析・初期条件!$H$47</f>
        <v>0</v>
      </c>
      <c r="AC263" s="478">
        <f>AC258*地域経済性分析・初期条件!$H$47</f>
        <v>0</v>
      </c>
      <c r="AD263" s="478">
        <f>AD258*地域経済性分析・初期条件!$H$47</f>
        <v>0</v>
      </c>
      <c r="AE263" s="478">
        <f>AE258*地域経済性分析・初期条件!$H$47</f>
        <v>0</v>
      </c>
      <c r="AF263" s="478">
        <f>AF258*地域経済性分析・初期条件!$H$47</f>
        <v>0</v>
      </c>
      <c r="AG263" s="478">
        <f>AG258*地域経済性分析・初期条件!$H$47</f>
        <v>0</v>
      </c>
      <c r="AH263" s="478">
        <f>AH258*地域経済性分析・初期条件!$H$47</f>
        <v>0</v>
      </c>
      <c r="AI263" s="548">
        <f t="shared" si="146"/>
        <v>0</v>
      </c>
      <c r="AJ263" s="548">
        <f t="shared" si="147"/>
        <v>0</v>
      </c>
      <c r="AK263" s="510">
        <f t="shared" si="148"/>
        <v>0</v>
      </c>
    </row>
    <row r="264" spans="1:37" ht="11.5" x14ac:dyDescent="0.25">
      <c r="A264" s="546" t="str">
        <f>A257&amp;B264</f>
        <v>0企業の税引後利益（一次）</v>
      </c>
      <c r="B264" s="452" t="s">
        <v>340</v>
      </c>
      <c r="C264" s="464" t="s">
        <v>37</v>
      </c>
      <c r="D264" s="507">
        <f>D258*地域経済性分析・初期条件!$I$47</f>
        <v>0</v>
      </c>
      <c r="E264" s="507">
        <f>E258*地域経済性分析・初期条件!$I$47</f>
        <v>0</v>
      </c>
      <c r="F264" s="478">
        <f>F258*地域経済性分析・初期条件!$I$47</f>
        <v>0</v>
      </c>
      <c r="G264" s="478">
        <f>G258*地域経済性分析・初期条件!$I$47</f>
        <v>0</v>
      </c>
      <c r="H264" s="478">
        <f>H258*地域経済性分析・初期条件!$I$47</f>
        <v>0</v>
      </c>
      <c r="I264" s="478">
        <f>I258*地域経済性分析・初期条件!$I$47</f>
        <v>0</v>
      </c>
      <c r="J264" s="478">
        <f>J258*地域経済性分析・初期条件!$I$47</f>
        <v>0</v>
      </c>
      <c r="K264" s="478">
        <f>K258*地域経済性分析・初期条件!$I$47</f>
        <v>0</v>
      </c>
      <c r="L264" s="478">
        <f>L258*地域経済性分析・初期条件!$I$47</f>
        <v>0</v>
      </c>
      <c r="M264" s="478">
        <f>M258*地域経済性分析・初期条件!$I$47</f>
        <v>0</v>
      </c>
      <c r="N264" s="478">
        <f>N258*地域経済性分析・初期条件!$I$47</f>
        <v>0</v>
      </c>
      <c r="O264" s="478">
        <f>O258*地域経済性分析・初期条件!$I$47</f>
        <v>0</v>
      </c>
      <c r="P264" s="478">
        <f>P258*地域経済性分析・初期条件!$I$47</f>
        <v>0</v>
      </c>
      <c r="Q264" s="478">
        <f>Q258*地域経済性分析・初期条件!$I$47</f>
        <v>0</v>
      </c>
      <c r="R264" s="478">
        <f>R258*地域経済性分析・初期条件!$I$47</f>
        <v>0</v>
      </c>
      <c r="S264" s="478">
        <f>S258*地域経済性分析・初期条件!$I$47</f>
        <v>0</v>
      </c>
      <c r="T264" s="478">
        <f>T258*地域経済性分析・初期条件!$I$47</f>
        <v>0</v>
      </c>
      <c r="U264" s="478">
        <f>U258*地域経済性分析・初期条件!$I$47</f>
        <v>0</v>
      </c>
      <c r="V264" s="478">
        <f>V258*地域経済性分析・初期条件!$I$47</f>
        <v>0</v>
      </c>
      <c r="W264" s="478">
        <f>W258*地域経済性分析・初期条件!$I$47</f>
        <v>0</v>
      </c>
      <c r="X264" s="478">
        <f>X258*地域経済性分析・初期条件!$I$47</f>
        <v>0</v>
      </c>
      <c r="Y264" s="478">
        <f>Y258*地域経済性分析・初期条件!$I$47</f>
        <v>0</v>
      </c>
      <c r="Z264" s="478">
        <f>Z258*地域経済性分析・初期条件!$I$47</f>
        <v>0</v>
      </c>
      <c r="AA264" s="478">
        <f>AA258*地域経済性分析・初期条件!$I$47</f>
        <v>0</v>
      </c>
      <c r="AB264" s="478">
        <f>AB258*地域経済性分析・初期条件!$I$47</f>
        <v>0</v>
      </c>
      <c r="AC264" s="478">
        <f>AC258*地域経済性分析・初期条件!$I$47</f>
        <v>0</v>
      </c>
      <c r="AD264" s="478">
        <f>AD258*地域経済性分析・初期条件!$I$47</f>
        <v>0</v>
      </c>
      <c r="AE264" s="478">
        <f>AE258*地域経済性分析・初期条件!$I$47</f>
        <v>0</v>
      </c>
      <c r="AF264" s="478">
        <f>AF258*地域経済性分析・初期条件!$I$47</f>
        <v>0</v>
      </c>
      <c r="AG264" s="478">
        <f>AG258*地域経済性分析・初期条件!$I$47</f>
        <v>0</v>
      </c>
      <c r="AH264" s="478">
        <f>AH258*地域経済性分析・初期条件!$I$47</f>
        <v>0</v>
      </c>
      <c r="AI264" s="548">
        <f t="shared" si="146"/>
        <v>0</v>
      </c>
      <c r="AJ264" s="548">
        <f t="shared" si="147"/>
        <v>0</v>
      </c>
      <c r="AK264" s="510">
        <f t="shared" si="148"/>
        <v>0</v>
      </c>
    </row>
    <row r="265" spans="1:37" ht="11.5" x14ac:dyDescent="0.25">
      <c r="A265" s="546" t="str">
        <f>A257&amp;B265</f>
        <v>0都道府県税収（一次）</v>
      </c>
      <c r="B265" s="452" t="s">
        <v>341</v>
      </c>
      <c r="C265" s="464" t="s">
        <v>37</v>
      </c>
      <c r="D265" s="507">
        <f>D258*地域経済性分析・初期条件!$J$47</f>
        <v>0</v>
      </c>
      <c r="E265" s="507">
        <f>E258*地域経済性分析・初期条件!$J$47</f>
        <v>0</v>
      </c>
      <c r="F265" s="478">
        <f>F258*地域経済性分析・初期条件!$J$47</f>
        <v>0</v>
      </c>
      <c r="G265" s="478">
        <f>G258*地域経済性分析・初期条件!$J$47</f>
        <v>0</v>
      </c>
      <c r="H265" s="478">
        <f>H258*地域経済性分析・初期条件!$J$47</f>
        <v>0</v>
      </c>
      <c r="I265" s="478">
        <f>I258*地域経済性分析・初期条件!$J$47</f>
        <v>0</v>
      </c>
      <c r="J265" s="478">
        <f>J258*地域経済性分析・初期条件!$J$47</f>
        <v>0</v>
      </c>
      <c r="K265" s="478">
        <f>K258*地域経済性分析・初期条件!$J$47</f>
        <v>0</v>
      </c>
      <c r="L265" s="478">
        <f>L258*地域経済性分析・初期条件!$J$47</f>
        <v>0</v>
      </c>
      <c r="M265" s="478">
        <f>M258*地域経済性分析・初期条件!$J$47</f>
        <v>0</v>
      </c>
      <c r="N265" s="478">
        <f>N258*地域経済性分析・初期条件!$J$47</f>
        <v>0</v>
      </c>
      <c r="O265" s="478">
        <f>O258*地域経済性分析・初期条件!$J$47</f>
        <v>0</v>
      </c>
      <c r="P265" s="478">
        <f>P258*地域経済性分析・初期条件!$J$47</f>
        <v>0</v>
      </c>
      <c r="Q265" s="478">
        <f>Q258*地域経済性分析・初期条件!$J$47</f>
        <v>0</v>
      </c>
      <c r="R265" s="478">
        <f>R258*地域経済性分析・初期条件!$J$47</f>
        <v>0</v>
      </c>
      <c r="S265" s="478">
        <f>S258*地域経済性分析・初期条件!$J$47</f>
        <v>0</v>
      </c>
      <c r="T265" s="478">
        <f>T258*地域経済性分析・初期条件!$J$47</f>
        <v>0</v>
      </c>
      <c r="U265" s="478">
        <f>U258*地域経済性分析・初期条件!$J$47</f>
        <v>0</v>
      </c>
      <c r="V265" s="478">
        <f>V258*地域経済性分析・初期条件!$J$47</f>
        <v>0</v>
      </c>
      <c r="W265" s="478">
        <f>W258*地域経済性分析・初期条件!$J$47</f>
        <v>0</v>
      </c>
      <c r="X265" s="478">
        <f>X258*地域経済性分析・初期条件!$J$47</f>
        <v>0</v>
      </c>
      <c r="Y265" s="478">
        <f>Y258*地域経済性分析・初期条件!$J$47</f>
        <v>0</v>
      </c>
      <c r="Z265" s="478">
        <f>Z258*地域経済性分析・初期条件!$J$47</f>
        <v>0</v>
      </c>
      <c r="AA265" s="478">
        <f>AA258*地域経済性分析・初期条件!$J$47</f>
        <v>0</v>
      </c>
      <c r="AB265" s="478">
        <f>AB258*地域経済性分析・初期条件!$J$47</f>
        <v>0</v>
      </c>
      <c r="AC265" s="478">
        <f>AC258*地域経済性分析・初期条件!$J$47</f>
        <v>0</v>
      </c>
      <c r="AD265" s="478">
        <f>AD258*地域経済性分析・初期条件!$J$47</f>
        <v>0</v>
      </c>
      <c r="AE265" s="478">
        <f>AE258*地域経済性分析・初期条件!$J$47</f>
        <v>0</v>
      </c>
      <c r="AF265" s="478">
        <f>AF258*地域経済性分析・初期条件!$J$47</f>
        <v>0</v>
      </c>
      <c r="AG265" s="478">
        <f>AG258*地域経済性分析・初期条件!$J$47</f>
        <v>0</v>
      </c>
      <c r="AH265" s="478">
        <f>AH258*地域経済性分析・初期条件!$J$47</f>
        <v>0</v>
      </c>
      <c r="AI265" s="548">
        <f t="shared" si="146"/>
        <v>0</v>
      </c>
      <c r="AJ265" s="548">
        <f t="shared" si="147"/>
        <v>0</v>
      </c>
      <c r="AK265" s="510">
        <f t="shared" si="148"/>
        <v>0</v>
      </c>
    </row>
    <row r="266" spans="1:37" ht="11.5" x14ac:dyDescent="0.25">
      <c r="A266" s="546" t="str">
        <f>A257&amp;B266</f>
        <v>0市町村税収（一次）</v>
      </c>
      <c r="B266" s="452" t="s">
        <v>342</v>
      </c>
      <c r="C266" s="465" t="s">
        <v>37</v>
      </c>
      <c r="D266" s="507">
        <f>D258*地域経済性分析・初期条件!$K$47</f>
        <v>0</v>
      </c>
      <c r="E266" s="478">
        <f>E258*地域経済性分析・初期条件!$K$47</f>
        <v>0</v>
      </c>
      <c r="F266" s="478">
        <f>F258*地域経済性分析・初期条件!$K$47</f>
        <v>0</v>
      </c>
      <c r="G266" s="478">
        <f>G258*地域経済性分析・初期条件!$K$47</f>
        <v>0</v>
      </c>
      <c r="H266" s="478">
        <f>H258*地域経済性分析・初期条件!$K$47</f>
        <v>0</v>
      </c>
      <c r="I266" s="478">
        <f>I258*地域経済性分析・初期条件!$K$47</f>
        <v>0</v>
      </c>
      <c r="J266" s="478">
        <f>J258*地域経済性分析・初期条件!$K$47</f>
        <v>0</v>
      </c>
      <c r="K266" s="478">
        <f>K258*地域経済性分析・初期条件!$K$47</f>
        <v>0</v>
      </c>
      <c r="L266" s="478">
        <f>L258*地域経済性分析・初期条件!$K$47</f>
        <v>0</v>
      </c>
      <c r="M266" s="478">
        <f>M258*地域経済性分析・初期条件!$K$47</f>
        <v>0</v>
      </c>
      <c r="N266" s="478">
        <f>N258*地域経済性分析・初期条件!$K$47</f>
        <v>0</v>
      </c>
      <c r="O266" s="478">
        <f>O258*地域経済性分析・初期条件!$K$47</f>
        <v>0</v>
      </c>
      <c r="P266" s="478">
        <f>P258*地域経済性分析・初期条件!$K$47</f>
        <v>0</v>
      </c>
      <c r="Q266" s="478">
        <f>Q258*地域経済性分析・初期条件!$K$47</f>
        <v>0</v>
      </c>
      <c r="R266" s="478">
        <f>R258*地域経済性分析・初期条件!$K$47</f>
        <v>0</v>
      </c>
      <c r="S266" s="478">
        <f>S258*地域経済性分析・初期条件!$K$47</f>
        <v>0</v>
      </c>
      <c r="T266" s="478">
        <f>T258*地域経済性分析・初期条件!$K$47</f>
        <v>0</v>
      </c>
      <c r="U266" s="478">
        <f>U258*地域経済性分析・初期条件!$K$47</f>
        <v>0</v>
      </c>
      <c r="V266" s="478">
        <f>V258*地域経済性分析・初期条件!$K$47</f>
        <v>0</v>
      </c>
      <c r="W266" s="478">
        <f>W258*地域経済性分析・初期条件!$K$47</f>
        <v>0</v>
      </c>
      <c r="X266" s="478">
        <f>X258*地域経済性分析・初期条件!$K$47</f>
        <v>0</v>
      </c>
      <c r="Y266" s="478">
        <f>Y258*地域経済性分析・初期条件!$K$47</f>
        <v>0</v>
      </c>
      <c r="Z266" s="478">
        <f>Z258*地域経済性分析・初期条件!$K$47</f>
        <v>0</v>
      </c>
      <c r="AA266" s="478">
        <f>AA258*地域経済性分析・初期条件!$K$47</f>
        <v>0</v>
      </c>
      <c r="AB266" s="478">
        <f>AB258*地域経済性分析・初期条件!$K$47</f>
        <v>0</v>
      </c>
      <c r="AC266" s="478">
        <f>AC258*地域経済性分析・初期条件!$K$47</f>
        <v>0</v>
      </c>
      <c r="AD266" s="478">
        <f>AD258*地域経済性分析・初期条件!$K$47</f>
        <v>0</v>
      </c>
      <c r="AE266" s="478">
        <f>AE258*地域経済性分析・初期条件!$K$47</f>
        <v>0</v>
      </c>
      <c r="AF266" s="478">
        <f>AF258*地域経済性分析・初期条件!$K$47</f>
        <v>0</v>
      </c>
      <c r="AG266" s="478">
        <f>AG258*地域経済性分析・初期条件!$K$47</f>
        <v>0</v>
      </c>
      <c r="AH266" s="478">
        <f>AH258*地域経済性分析・初期条件!$K$47</f>
        <v>0</v>
      </c>
      <c r="AI266" s="548">
        <f t="shared" si="146"/>
        <v>0</v>
      </c>
      <c r="AJ266" s="548">
        <f t="shared" si="147"/>
        <v>0</v>
      </c>
      <c r="AK266" s="510">
        <f t="shared" si="148"/>
        <v>0</v>
      </c>
    </row>
    <row r="267" spans="1:37" ht="11.5" x14ac:dyDescent="0.25">
      <c r="A267" s="546" t="str">
        <f>A257&amp;B267</f>
        <v>0従業員の可処分所得（二次以降）</v>
      </c>
      <c r="B267" s="452" t="s">
        <v>344</v>
      </c>
      <c r="C267" s="465" t="s">
        <v>37</v>
      </c>
      <c r="D267" s="507">
        <f>D258*地域経済性分析・初期条件!$L$47</f>
        <v>0</v>
      </c>
      <c r="E267" s="478">
        <f>E258*地域経済性分析・初期条件!$L$47</f>
        <v>0</v>
      </c>
      <c r="F267" s="478">
        <f>F258*地域経済性分析・初期条件!$L$47</f>
        <v>0</v>
      </c>
      <c r="G267" s="478">
        <f>G258*地域経済性分析・初期条件!$L$47</f>
        <v>0</v>
      </c>
      <c r="H267" s="478">
        <f>H258*地域経済性分析・初期条件!$L$47</f>
        <v>0</v>
      </c>
      <c r="I267" s="478">
        <f>I258*地域経済性分析・初期条件!$L$47</f>
        <v>0</v>
      </c>
      <c r="J267" s="478">
        <f>J258*地域経済性分析・初期条件!$L$47</f>
        <v>0</v>
      </c>
      <c r="K267" s="478">
        <f>K258*地域経済性分析・初期条件!$L$47</f>
        <v>0</v>
      </c>
      <c r="L267" s="478">
        <f>L258*地域経済性分析・初期条件!$L$47</f>
        <v>0</v>
      </c>
      <c r="M267" s="478">
        <f>M258*地域経済性分析・初期条件!$L$47</f>
        <v>0</v>
      </c>
      <c r="N267" s="478">
        <f>N258*地域経済性分析・初期条件!$L$47</f>
        <v>0</v>
      </c>
      <c r="O267" s="478">
        <f>O258*地域経済性分析・初期条件!$L$47</f>
        <v>0</v>
      </c>
      <c r="P267" s="478">
        <f>P258*地域経済性分析・初期条件!$L$47</f>
        <v>0</v>
      </c>
      <c r="Q267" s="478">
        <f>Q258*地域経済性分析・初期条件!$L$47</f>
        <v>0</v>
      </c>
      <c r="R267" s="478">
        <f>R258*地域経済性分析・初期条件!$L$47</f>
        <v>0</v>
      </c>
      <c r="S267" s="478">
        <f>S258*地域経済性分析・初期条件!$L$47</f>
        <v>0</v>
      </c>
      <c r="T267" s="478">
        <f>T258*地域経済性分析・初期条件!$L$47</f>
        <v>0</v>
      </c>
      <c r="U267" s="478">
        <f>U258*地域経済性分析・初期条件!$L$47</f>
        <v>0</v>
      </c>
      <c r="V267" s="478">
        <f>V258*地域経済性分析・初期条件!$L$47</f>
        <v>0</v>
      </c>
      <c r="W267" s="478">
        <f>W258*地域経済性分析・初期条件!$L$47</f>
        <v>0</v>
      </c>
      <c r="X267" s="478">
        <f>X258*地域経済性分析・初期条件!$L$47</f>
        <v>0</v>
      </c>
      <c r="Y267" s="478">
        <f>Y258*地域経済性分析・初期条件!$L$47</f>
        <v>0</v>
      </c>
      <c r="Z267" s="478">
        <f>Z258*地域経済性分析・初期条件!$L$47</f>
        <v>0</v>
      </c>
      <c r="AA267" s="478">
        <f>AA258*地域経済性分析・初期条件!$L$47</f>
        <v>0</v>
      </c>
      <c r="AB267" s="478">
        <f>AB258*地域経済性分析・初期条件!$L$47</f>
        <v>0</v>
      </c>
      <c r="AC267" s="478">
        <f>AC258*地域経済性分析・初期条件!$L$47</f>
        <v>0</v>
      </c>
      <c r="AD267" s="478">
        <f>AD258*地域経済性分析・初期条件!$L$47</f>
        <v>0</v>
      </c>
      <c r="AE267" s="478">
        <f>AE258*地域経済性分析・初期条件!$L$47</f>
        <v>0</v>
      </c>
      <c r="AF267" s="478">
        <f>AF258*地域経済性分析・初期条件!$L$47</f>
        <v>0</v>
      </c>
      <c r="AG267" s="478">
        <f>AG258*地域経済性分析・初期条件!$L$47</f>
        <v>0</v>
      </c>
      <c r="AH267" s="478">
        <f>AH258*地域経済性分析・初期条件!$L$47</f>
        <v>0</v>
      </c>
      <c r="AI267" s="548">
        <f t="shared" si="146"/>
        <v>0</v>
      </c>
      <c r="AJ267" s="548">
        <f t="shared" si="147"/>
        <v>0</v>
      </c>
      <c r="AK267" s="510">
        <f t="shared" si="148"/>
        <v>0</v>
      </c>
    </row>
    <row r="268" spans="1:37" ht="11.5" x14ac:dyDescent="0.25">
      <c r="A268" s="546" t="str">
        <f>A257&amp;B268</f>
        <v>0企業の税引後利益（二次以降）</v>
      </c>
      <c r="B268" s="452" t="s">
        <v>345</v>
      </c>
      <c r="C268" s="465" t="s">
        <v>37</v>
      </c>
      <c r="D268" s="507">
        <f>D258*地域経済性分析・初期条件!$M$47</f>
        <v>0</v>
      </c>
      <c r="E268" s="478">
        <f>E258*地域経済性分析・初期条件!$M$47</f>
        <v>0</v>
      </c>
      <c r="F268" s="478">
        <f>F258*地域経済性分析・初期条件!$M$47</f>
        <v>0</v>
      </c>
      <c r="G268" s="478">
        <f>G258*地域経済性分析・初期条件!$M$47</f>
        <v>0</v>
      </c>
      <c r="H268" s="478">
        <f>H258*地域経済性分析・初期条件!$M$47</f>
        <v>0</v>
      </c>
      <c r="I268" s="478">
        <f>I258*地域経済性分析・初期条件!$M$47</f>
        <v>0</v>
      </c>
      <c r="J268" s="478">
        <f>J258*地域経済性分析・初期条件!$M$47</f>
        <v>0</v>
      </c>
      <c r="K268" s="478">
        <f>K258*地域経済性分析・初期条件!$M$47</f>
        <v>0</v>
      </c>
      <c r="L268" s="478">
        <f>L258*地域経済性分析・初期条件!$M$47</f>
        <v>0</v>
      </c>
      <c r="M268" s="478">
        <f>M258*地域経済性分析・初期条件!$M$47</f>
        <v>0</v>
      </c>
      <c r="N268" s="478">
        <f>N258*地域経済性分析・初期条件!$M$47</f>
        <v>0</v>
      </c>
      <c r="O268" s="478">
        <f>O258*地域経済性分析・初期条件!$M$47</f>
        <v>0</v>
      </c>
      <c r="P268" s="478">
        <f>P258*地域経済性分析・初期条件!$M$47</f>
        <v>0</v>
      </c>
      <c r="Q268" s="478">
        <f>Q258*地域経済性分析・初期条件!$M$47</f>
        <v>0</v>
      </c>
      <c r="R268" s="478">
        <f>R258*地域経済性分析・初期条件!$M$47</f>
        <v>0</v>
      </c>
      <c r="S268" s="478">
        <f>S258*地域経済性分析・初期条件!$M$47</f>
        <v>0</v>
      </c>
      <c r="T268" s="478">
        <f>T258*地域経済性分析・初期条件!$M$47</f>
        <v>0</v>
      </c>
      <c r="U268" s="478">
        <f>U258*地域経済性分析・初期条件!$M$47</f>
        <v>0</v>
      </c>
      <c r="V268" s="478">
        <f>V258*地域経済性分析・初期条件!$M$47</f>
        <v>0</v>
      </c>
      <c r="W268" s="478">
        <f>W258*地域経済性分析・初期条件!$M$47</f>
        <v>0</v>
      </c>
      <c r="X268" s="478">
        <f>X258*地域経済性分析・初期条件!$M$47</f>
        <v>0</v>
      </c>
      <c r="Y268" s="478">
        <f>Y258*地域経済性分析・初期条件!$M$47</f>
        <v>0</v>
      </c>
      <c r="Z268" s="478">
        <f>Z258*地域経済性分析・初期条件!$M$47</f>
        <v>0</v>
      </c>
      <c r="AA268" s="478">
        <f>AA258*地域経済性分析・初期条件!$M$47</f>
        <v>0</v>
      </c>
      <c r="AB268" s="478">
        <f>AB258*地域経済性分析・初期条件!$M$47</f>
        <v>0</v>
      </c>
      <c r="AC268" s="478">
        <f>AC258*地域経済性分析・初期条件!$M$47</f>
        <v>0</v>
      </c>
      <c r="AD268" s="478">
        <f>AD258*地域経済性分析・初期条件!$M$47</f>
        <v>0</v>
      </c>
      <c r="AE268" s="478">
        <f>AE258*地域経済性分析・初期条件!$M$47</f>
        <v>0</v>
      </c>
      <c r="AF268" s="478">
        <f>AF258*地域経済性分析・初期条件!$M$47</f>
        <v>0</v>
      </c>
      <c r="AG268" s="478">
        <f>AG258*地域経済性分析・初期条件!$M$47</f>
        <v>0</v>
      </c>
      <c r="AH268" s="478">
        <f>AH258*地域経済性分析・初期条件!$M$47</f>
        <v>0</v>
      </c>
      <c r="AI268" s="548">
        <f t="shared" si="146"/>
        <v>0</v>
      </c>
      <c r="AJ268" s="548">
        <f t="shared" si="147"/>
        <v>0</v>
      </c>
      <c r="AK268" s="510">
        <f t="shared" si="148"/>
        <v>0</v>
      </c>
    </row>
    <row r="269" spans="1:37" ht="11.5" x14ac:dyDescent="0.25">
      <c r="A269" s="546" t="str">
        <f>A257&amp;B269</f>
        <v>0都道府県税収（二次以降）</v>
      </c>
      <c r="B269" s="452" t="s">
        <v>346</v>
      </c>
      <c r="C269" s="465" t="s">
        <v>37</v>
      </c>
      <c r="D269" s="507">
        <f>D258*地域経済性分析・初期条件!$N$47</f>
        <v>0</v>
      </c>
      <c r="E269" s="478">
        <f>E258*地域経済性分析・初期条件!$N$47</f>
        <v>0</v>
      </c>
      <c r="F269" s="478">
        <f>F258*地域経済性分析・初期条件!$N$47</f>
        <v>0</v>
      </c>
      <c r="G269" s="478">
        <f>G258*地域経済性分析・初期条件!$N$47</f>
        <v>0</v>
      </c>
      <c r="H269" s="478">
        <f>H258*地域経済性分析・初期条件!$N$47</f>
        <v>0</v>
      </c>
      <c r="I269" s="478">
        <f>I258*地域経済性分析・初期条件!$N$47</f>
        <v>0</v>
      </c>
      <c r="J269" s="478">
        <f>J258*地域経済性分析・初期条件!$N$47</f>
        <v>0</v>
      </c>
      <c r="K269" s="478">
        <f>K258*地域経済性分析・初期条件!$N$47</f>
        <v>0</v>
      </c>
      <c r="L269" s="478">
        <f>L258*地域経済性分析・初期条件!$N$47</f>
        <v>0</v>
      </c>
      <c r="M269" s="478">
        <f>M258*地域経済性分析・初期条件!$N$47</f>
        <v>0</v>
      </c>
      <c r="N269" s="478">
        <f>N258*地域経済性分析・初期条件!$N$47</f>
        <v>0</v>
      </c>
      <c r="O269" s="478">
        <f>O258*地域経済性分析・初期条件!$N$47</f>
        <v>0</v>
      </c>
      <c r="P269" s="478">
        <f>P258*地域経済性分析・初期条件!$N$47</f>
        <v>0</v>
      </c>
      <c r="Q269" s="478">
        <f>Q258*地域経済性分析・初期条件!$N$47</f>
        <v>0</v>
      </c>
      <c r="R269" s="478">
        <f>R258*地域経済性分析・初期条件!$N$47</f>
        <v>0</v>
      </c>
      <c r="S269" s="478">
        <f>S258*地域経済性分析・初期条件!$N$47</f>
        <v>0</v>
      </c>
      <c r="T269" s="478">
        <f>T258*地域経済性分析・初期条件!$N$47</f>
        <v>0</v>
      </c>
      <c r="U269" s="478">
        <f>U258*地域経済性分析・初期条件!$N$47</f>
        <v>0</v>
      </c>
      <c r="V269" s="478">
        <f>V258*地域経済性分析・初期条件!$N$47</f>
        <v>0</v>
      </c>
      <c r="W269" s="478">
        <f>W258*地域経済性分析・初期条件!$N$47</f>
        <v>0</v>
      </c>
      <c r="X269" s="478">
        <f>X258*地域経済性分析・初期条件!$N$47</f>
        <v>0</v>
      </c>
      <c r="Y269" s="478">
        <f>Y258*地域経済性分析・初期条件!$N$47</f>
        <v>0</v>
      </c>
      <c r="Z269" s="478">
        <f>Z258*地域経済性分析・初期条件!$N$47</f>
        <v>0</v>
      </c>
      <c r="AA269" s="478">
        <f>AA258*地域経済性分析・初期条件!$N$47</f>
        <v>0</v>
      </c>
      <c r="AB269" s="478">
        <f>AB258*地域経済性分析・初期条件!$N$47</f>
        <v>0</v>
      </c>
      <c r="AC269" s="478">
        <f>AC258*地域経済性分析・初期条件!$N$47</f>
        <v>0</v>
      </c>
      <c r="AD269" s="478">
        <f>AD258*地域経済性分析・初期条件!$N$47</f>
        <v>0</v>
      </c>
      <c r="AE269" s="478">
        <f>AE258*地域経済性分析・初期条件!$N$47</f>
        <v>0</v>
      </c>
      <c r="AF269" s="478">
        <f>AF258*地域経済性分析・初期条件!$N$47</f>
        <v>0</v>
      </c>
      <c r="AG269" s="478">
        <f>AG258*地域経済性分析・初期条件!$N$47</f>
        <v>0</v>
      </c>
      <c r="AH269" s="478">
        <f>AH258*地域経済性分析・初期条件!$N$47</f>
        <v>0</v>
      </c>
      <c r="AI269" s="548">
        <f t="shared" si="146"/>
        <v>0</v>
      </c>
      <c r="AJ269" s="548">
        <f t="shared" si="147"/>
        <v>0</v>
      </c>
      <c r="AK269" s="510">
        <f t="shared" si="148"/>
        <v>0</v>
      </c>
    </row>
    <row r="270" spans="1:37" ht="12" thickBot="1" x14ac:dyDescent="0.3">
      <c r="A270" s="682" t="str">
        <f>A257&amp;B270</f>
        <v>0市町村税収（二次以降）</v>
      </c>
      <c r="B270" s="683" t="s">
        <v>347</v>
      </c>
      <c r="C270" s="684" t="s">
        <v>37</v>
      </c>
      <c r="D270" s="685">
        <f>D258*地域経済性分析・初期条件!$O$47</f>
        <v>0</v>
      </c>
      <c r="E270" s="686">
        <f>E258*地域経済性分析・初期条件!$O$47</f>
        <v>0</v>
      </c>
      <c r="F270" s="686">
        <f>F258*地域経済性分析・初期条件!$O$47</f>
        <v>0</v>
      </c>
      <c r="G270" s="686">
        <f>G258*地域経済性分析・初期条件!$O$47</f>
        <v>0</v>
      </c>
      <c r="H270" s="686">
        <f>H258*地域経済性分析・初期条件!$O$47</f>
        <v>0</v>
      </c>
      <c r="I270" s="686">
        <f>I258*地域経済性分析・初期条件!$O$47</f>
        <v>0</v>
      </c>
      <c r="J270" s="686">
        <f>J258*地域経済性分析・初期条件!$O$47</f>
        <v>0</v>
      </c>
      <c r="K270" s="686">
        <f>K258*地域経済性分析・初期条件!$O$47</f>
        <v>0</v>
      </c>
      <c r="L270" s="686">
        <f>L258*地域経済性分析・初期条件!$O$47</f>
        <v>0</v>
      </c>
      <c r="M270" s="686">
        <f>M258*地域経済性分析・初期条件!$O$47</f>
        <v>0</v>
      </c>
      <c r="N270" s="686">
        <f>N258*地域経済性分析・初期条件!$O$47</f>
        <v>0</v>
      </c>
      <c r="O270" s="686">
        <f>O258*地域経済性分析・初期条件!$O$47</f>
        <v>0</v>
      </c>
      <c r="P270" s="686">
        <f>P258*地域経済性分析・初期条件!$O$47</f>
        <v>0</v>
      </c>
      <c r="Q270" s="686">
        <f>Q258*地域経済性分析・初期条件!$O$47</f>
        <v>0</v>
      </c>
      <c r="R270" s="686">
        <f>R258*地域経済性分析・初期条件!$O$47</f>
        <v>0</v>
      </c>
      <c r="S270" s="686">
        <f>S258*地域経済性分析・初期条件!$O$47</f>
        <v>0</v>
      </c>
      <c r="T270" s="686">
        <f>T258*地域経済性分析・初期条件!$O$47</f>
        <v>0</v>
      </c>
      <c r="U270" s="686">
        <f>U258*地域経済性分析・初期条件!$O$47</f>
        <v>0</v>
      </c>
      <c r="V270" s="686">
        <f>V258*地域経済性分析・初期条件!$O$47</f>
        <v>0</v>
      </c>
      <c r="W270" s="686">
        <f>W258*地域経済性分析・初期条件!$O$47</f>
        <v>0</v>
      </c>
      <c r="X270" s="686">
        <f>X258*地域経済性分析・初期条件!$O$47</f>
        <v>0</v>
      </c>
      <c r="Y270" s="686">
        <f>Y258*地域経済性分析・初期条件!$O$47</f>
        <v>0</v>
      </c>
      <c r="Z270" s="686">
        <f>Z258*地域経済性分析・初期条件!$O$47</f>
        <v>0</v>
      </c>
      <c r="AA270" s="686">
        <f>AA258*地域経済性分析・初期条件!$O$47</f>
        <v>0</v>
      </c>
      <c r="AB270" s="686">
        <f>AB258*地域経済性分析・初期条件!$O$47</f>
        <v>0</v>
      </c>
      <c r="AC270" s="686">
        <f>AC258*地域経済性分析・初期条件!$O$47</f>
        <v>0</v>
      </c>
      <c r="AD270" s="686">
        <f>AD258*地域経済性分析・初期条件!$O$47</f>
        <v>0</v>
      </c>
      <c r="AE270" s="686">
        <f>AE258*地域経済性分析・初期条件!$O$47</f>
        <v>0</v>
      </c>
      <c r="AF270" s="686">
        <f>AF258*地域経済性分析・初期条件!$O$47</f>
        <v>0</v>
      </c>
      <c r="AG270" s="686">
        <f>AG258*地域経済性分析・初期条件!$O$47</f>
        <v>0</v>
      </c>
      <c r="AH270" s="686">
        <f>AH258*地域経済性分析・初期条件!$O$47</f>
        <v>0</v>
      </c>
      <c r="AI270" s="687">
        <f t="shared" si="146"/>
        <v>0</v>
      </c>
      <c r="AJ270" s="687">
        <f t="shared" si="147"/>
        <v>0</v>
      </c>
      <c r="AK270" s="688">
        <f t="shared" si="148"/>
        <v>0</v>
      </c>
    </row>
    <row r="271" spans="1:37" ht="12" thickTop="1" x14ac:dyDescent="0.25">
      <c r="A271" s="1256" t="s">
        <v>1049</v>
      </c>
      <c r="B271" s="452"/>
      <c r="C271" s="465" t="s">
        <v>1050</v>
      </c>
      <c r="D271" s="507">
        <f>SUM(D235:D242,D249:D256,,D263:D270)</f>
        <v>0</v>
      </c>
      <c r="E271" s="507">
        <f t="shared" ref="E271:AH271" si="149">SUM(E235:E242,E249:E256,,E263:E270)</f>
        <v>1225670.1911638128</v>
      </c>
      <c r="F271" s="507">
        <f t="shared" si="149"/>
        <v>1225670.1911638128</v>
      </c>
      <c r="G271" s="507">
        <f t="shared" si="149"/>
        <v>1225670.1911638128</v>
      </c>
      <c r="H271" s="507">
        <f t="shared" si="149"/>
        <v>1225670.1911638128</v>
      </c>
      <c r="I271" s="507">
        <f t="shared" si="149"/>
        <v>1225670.1911638128</v>
      </c>
      <c r="J271" s="507">
        <f t="shared" si="149"/>
        <v>1225670.1911638128</v>
      </c>
      <c r="K271" s="507">
        <f t="shared" si="149"/>
        <v>1225670.1911638128</v>
      </c>
      <c r="L271" s="507">
        <f t="shared" si="149"/>
        <v>1225670.1911638128</v>
      </c>
      <c r="M271" s="507">
        <f t="shared" si="149"/>
        <v>1225670.1911638128</v>
      </c>
      <c r="N271" s="507">
        <f t="shared" si="149"/>
        <v>1225670.1911638128</v>
      </c>
      <c r="O271" s="507">
        <f t="shared" si="149"/>
        <v>1225670.1911638128</v>
      </c>
      <c r="P271" s="507">
        <f t="shared" si="149"/>
        <v>1225670.1911638128</v>
      </c>
      <c r="Q271" s="507">
        <f t="shared" si="149"/>
        <v>1225670.1911638128</v>
      </c>
      <c r="R271" s="507">
        <f t="shared" si="149"/>
        <v>1225670.1911638128</v>
      </c>
      <c r="S271" s="507">
        <f t="shared" si="149"/>
        <v>1225670.1911638128</v>
      </c>
      <c r="T271" s="507">
        <f t="shared" si="149"/>
        <v>1225670.1911638128</v>
      </c>
      <c r="U271" s="507">
        <f t="shared" si="149"/>
        <v>1225670.1911638128</v>
      </c>
      <c r="V271" s="507">
        <f t="shared" si="149"/>
        <v>1225670.1911638128</v>
      </c>
      <c r="W271" s="507">
        <f t="shared" si="149"/>
        <v>1225670.1911638128</v>
      </c>
      <c r="X271" s="507">
        <f t="shared" si="149"/>
        <v>1225670.1911638128</v>
      </c>
      <c r="Y271" s="507">
        <f t="shared" si="149"/>
        <v>1225670.1911638128</v>
      </c>
      <c r="Z271" s="507">
        <f t="shared" si="149"/>
        <v>1225670.1911638128</v>
      </c>
      <c r="AA271" s="507">
        <f t="shared" si="149"/>
        <v>1225670.1911638128</v>
      </c>
      <c r="AB271" s="507">
        <f t="shared" si="149"/>
        <v>1225670.1911638128</v>
      </c>
      <c r="AC271" s="507">
        <f t="shared" si="149"/>
        <v>1225670.1911638128</v>
      </c>
      <c r="AD271" s="507">
        <f t="shared" si="149"/>
        <v>1225670.1911638128</v>
      </c>
      <c r="AE271" s="507">
        <f t="shared" si="149"/>
        <v>1225670.1911638128</v>
      </c>
      <c r="AF271" s="507">
        <f t="shared" si="149"/>
        <v>1225670.1911638128</v>
      </c>
      <c r="AG271" s="507">
        <f t="shared" si="149"/>
        <v>1225670.1911638128</v>
      </c>
      <c r="AH271" s="507">
        <f t="shared" si="149"/>
        <v>1225670.1911638128</v>
      </c>
      <c r="AI271" s="548">
        <f>AI228-SUM(AI235:AI242,AI249:AI256,AI263:AI270)</f>
        <v>234282571.84975147</v>
      </c>
      <c r="AJ271" s="548">
        <f>AJ228-SUM(AJ235:AJ242,AJ249:AJ256,AJ263:AJ270)</f>
        <v>468565143.69950312</v>
      </c>
      <c r="AK271" s="510">
        <f>AK228-SUM(AK235:AK242,AK249:AK256,AK263:AK270)</f>
        <v>702847715.5492543</v>
      </c>
    </row>
    <row r="272" spans="1:37" ht="11.5" x14ac:dyDescent="0.25">
      <c r="A272" s="1257" t="s">
        <v>1051</v>
      </c>
      <c r="B272" s="1258"/>
      <c r="C272" s="1259" t="s">
        <v>37</v>
      </c>
      <c r="D272" s="1254">
        <f>D228*1.1-D271</f>
        <v>0</v>
      </c>
      <c r="E272" s="1254">
        <f t="shared" ref="E272:AH272" si="150">E228*1.1-E271</f>
        <v>25893649.922589045</v>
      </c>
      <c r="F272" s="508">
        <f t="shared" si="150"/>
        <v>25893649.922589045</v>
      </c>
      <c r="G272" s="508">
        <f t="shared" si="150"/>
        <v>25893649.922589045</v>
      </c>
      <c r="H272" s="508">
        <f t="shared" si="150"/>
        <v>25893649.922589045</v>
      </c>
      <c r="I272" s="508">
        <f t="shared" si="150"/>
        <v>25893649.922589045</v>
      </c>
      <c r="J272" s="508">
        <f t="shared" si="150"/>
        <v>25893649.922589045</v>
      </c>
      <c r="K272" s="508">
        <f t="shared" si="150"/>
        <v>25893649.922589045</v>
      </c>
      <c r="L272" s="508">
        <f t="shared" si="150"/>
        <v>25893649.922589045</v>
      </c>
      <c r="M272" s="508">
        <f t="shared" si="150"/>
        <v>25893649.922589045</v>
      </c>
      <c r="N272" s="508">
        <f t="shared" si="150"/>
        <v>25893649.922589045</v>
      </c>
      <c r="O272" s="508">
        <f t="shared" si="150"/>
        <v>25893649.922589045</v>
      </c>
      <c r="P272" s="508">
        <f t="shared" si="150"/>
        <v>25893649.922589045</v>
      </c>
      <c r="Q272" s="508">
        <f t="shared" si="150"/>
        <v>25893649.922589045</v>
      </c>
      <c r="R272" s="508">
        <f t="shared" si="150"/>
        <v>25893649.922589045</v>
      </c>
      <c r="S272" s="508">
        <f t="shared" si="150"/>
        <v>25893649.922589045</v>
      </c>
      <c r="T272" s="508">
        <f t="shared" si="150"/>
        <v>25893649.922589045</v>
      </c>
      <c r="U272" s="508">
        <f t="shared" si="150"/>
        <v>25893649.922589045</v>
      </c>
      <c r="V272" s="508">
        <f t="shared" si="150"/>
        <v>25893649.922589045</v>
      </c>
      <c r="W272" s="508">
        <f t="shared" si="150"/>
        <v>25893649.922589045</v>
      </c>
      <c r="X272" s="508">
        <f t="shared" si="150"/>
        <v>25893649.922589045</v>
      </c>
      <c r="Y272" s="508">
        <f t="shared" si="150"/>
        <v>25893649.922589045</v>
      </c>
      <c r="Z272" s="508">
        <f t="shared" si="150"/>
        <v>25893649.922589045</v>
      </c>
      <c r="AA272" s="508">
        <f t="shared" si="150"/>
        <v>25893649.922589045</v>
      </c>
      <c r="AB272" s="508">
        <f t="shared" si="150"/>
        <v>25893649.922589045</v>
      </c>
      <c r="AC272" s="508">
        <f t="shared" si="150"/>
        <v>25893649.922589045</v>
      </c>
      <c r="AD272" s="508">
        <f t="shared" si="150"/>
        <v>25893649.922589045</v>
      </c>
      <c r="AE272" s="508">
        <f t="shared" si="150"/>
        <v>25893649.922589045</v>
      </c>
      <c r="AF272" s="508">
        <f t="shared" si="150"/>
        <v>25893649.922589045</v>
      </c>
      <c r="AG272" s="508">
        <f t="shared" si="150"/>
        <v>25893649.922589045</v>
      </c>
      <c r="AH272" s="508">
        <f t="shared" si="150"/>
        <v>25893649.922589045</v>
      </c>
      <c r="AI272" s="550">
        <f>AI229-SUM(AI236:AI243,AI250:AI257,AI264:AI270)</f>
        <v>-10448703.861443918</v>
      </c>
      <c r="AJ272" s="550">
        <f>AJ229-SUM(AJ236:AJ243,AJ250:AJ257,AJ264:AJ270)</f>
        <v>-20897407.722887833</v>
      </c>
      <c r="AK272" s="551">
        <f>AK229-SUM(AK236:AK243,AK250:AK257,AK264:AK270)</f>
        <v>-31346111.584331762</v>
      </c>
    </row>
    <row r="273" spans="1:37" ht="11.5" x14ac:dyDescent="0.25">
      <c r="A273" s="452" t="s">
        <v>202</v>
      </c>
      <c r="B273" s="426"/>
      <c r="C273" s="464" t="s">
        <v>37</v>
      </c>
      <c r="D273" s="507"/>
      <c r="E273" s="507">
        <f>E35</f>
        <v>41089878.960231602</v>
      </c>
      <c r="F273" s="507">
        <f t="shared" ref="F273:AH273" si="151">F35</f>
        <v>41089878.960231602</v>
      </c>
      <c r="G273" s="507">
        <f t="shared" si="151"/>
        <v>41089878.960231602</v>
      </c>
      <c r="H273" s="507">
        <f t="shared" si="151"/>
        <v>41089878.960231602</v>
      </c>
      <c r="I273" s="507">
        <f t="shared" si="151"/>
        <v>41089878.960231602</v>
      </c>
      <c r="J273" s="507">
        <f t="shared" si="151"/>
        <v>41089878.960231602</v>
      </c>
      <c r="K273" s="507">
        <f t="shared" si="151"/>
        <v>41089878.960231602</v>
      </c>
      <c r="L273" s="507">
        <f t="shared" si="151"/>
        <v>41089878.960231602</v>
      </c>
      <c r="M273" s="507">
        <f t="shared" si="151"/>
        <v>41089878.960231602</v>
      </c>
      <c r="N273" s="507">
        <f t="shared" si="151"/>
        <v>41089878.960231602</v>
      </c>
      <c r="O273" s="507">
        <f t="shared" si="151"/>
        <v>41089878.960231602</v>
      </c>
      <c r="P273" s="507">
        <f t="shared" si="151"/>
        <v>41089878.960231602</v>
      </c>
      <c r="Q273" s="507">
        <f t="shared" si="151"/>
        <v>41089878.960231602</v>
      </c>
      <c r="R273" s="507">
        <f t="shared" si="151"/>
        <v>41089878.960231602</v>
      </c>
      <c r="S273" s="507">
        <f t="shared" si="151"/>
        <v>41089878.960231602</v>
      </c>
      <c r="T273" s="507">
        <f t="shared" si="151"/>
        <v>41089878.960231602</v>
      </c>
      <c r="U273" s="507">
        <f t="shared" si="151"/>
        <v>41089878.960231602</v>
      </c>
      <c r="V273" s="507">
        <f t="shared" si="151"/>
        <v>41089878.960231602</v>
      </c>
      <c r="W273" s="507">
        <f t="shared" si="151"/>
        <v>41089878.960231602</v>
      </c>
      <c r="X273" s="507">
        <f t="shared" si="151"/>
        <v>41089878.960231602</v>
      </c>
      <c r="Y273" s="507">
        <f t="shared" si="151"/>
        <v>41089878.960231602</v>
      </c>
      <c r="Z273" s="507">
        <f t="shared" si="151"/>
        <v>41089878.960231602</v>
      </c>
      <c r="AA273" s="507">
        <f t="shared" si="151"/>
        <v>41089878.960231602</v>
      </c>
      <c r="AB273" s="507">
        <f t="shared" si="151"/>
        <v>41089878.960231602</v>
      </c>
      <c r="AC273" s="507">
        <f t="shared" si="151"/>
        <v>41089878.960231602</v>
      </c>
      <c r="AD273" s="507">
        <f t="shared" si="151"/>
        <v>41089878.960231602</v>
      </c>
      <c r="AE273" s="507">
        <f t="shared" si="151"/>
        <v>41089878.960231602</v>
      </c>
      <c r="AF273" s="507">
        <f t="shared" si="151"/>
        <v>41089878.960231602</v>
      </c>
      <c r="AG273" s="507">
        <f t="shared" si="151"/>
        <v>41089878.960231602</v>
      </c>
      <c r="AH273" s="507">
        <f t="shared" si="151"/>
        <v>41089878.960231602</v>
      </c>
      <c r="AI273" s="548">
        <f t="shared" ref="AI273:AI284" si="152">SUM(D273:N273)</f>
        <v>410898789.60231602</v>
      </c>
      <c r="AJ273" s="548">
        <f t="shared" ref="AJ273:AJ279" si="153">SUM(D273:X273)</f>
        <v>821797579.20463181</v>
      </c>
      <c r="AK273" s="510">
        <f t="shared" ref="AK273:AK279" si="154">SUM(D273:AH273)</f>
        <v>1232696368.8069472</v>
      </c>
    </row>
    <row r="274" spans="1:37" ht="11.5" x14ac:dyDescent="0.25">
      <c r="A274" s="426" t="s">
        <v>265</v>
      </c>
      <c r="B274" s="426"/>
      <c r="C274" s="464" t="s">
        <v>37</v>
      </c>
      <c r="D274" s="507"/>
      <c r="E274" s="507">
        <f>E273*波及効果シート!$D$81</f>
        <v>32871903.168185282</v>
      </c>
      <c r="F274" s="507">
        <f>F273*波及効果シート!$D$81</f>
        <v>32871903.168185282</v>
      </c>
      <c r="G274" s="507">
        <f>G273*波及効果シート!$D$81</f>
        <v>32871903.168185282</v>
      </c>
      <c r="H274" s="507">
        <f>H273*波及効果シート!$D$81</f>
        <v>32871903.168185282</v>
      </c>
      <c r="I274" s="507">
        <f>I273*波及効果シート!$D$81</f>
        <v>32871903.168185282</v>
      </c>
      <c r="J274" s="507">
        <f>J273*波及効果シート!$D$81</f>
        <v>32871903.168185282</v>
      </c>
      <c r="K274" s="507">
        <f>K273*波及効果シート!$D$81</f>
        <v>32871903.168185282</v>
      </c>
      <c r="L274" s="507">
        <f>L273*波及効果シート!$D$81</f>
        <v>32871903.168185282</v>
      </c>
      <c r="M274" s="507">
        <f>M273*波及効果シート!$D$81</f>
        <v>32871903.168185282</v>
      </c>
      <c r="N274" s="507">
        <f>N273*波及効果シート!$D$81</f>
        <v>32871903.168185282</v>
      </c>
      <c r="O274" s="507">
        <f>O273*波及効果シート!$D$81</f>
        <v>32871903.168185282</v>
      </c>
      <c r="P274" s="507">
        <f>P273*波及効果シート!$D$81</f>
        <v>32871903.168185282</v>
      </c>
      <c r="Q274" s="507">
        <f>Q273*波及効果シート!$D$81</f>
        <v>32871903.168185282</v>
      </c>
      <c r="R274" s="507">
        <f>R273*波及効果シート!$D$81</f>
        <v>32871903.168185282</v>
      </c>
      <c r="S274" s="507">
        <f>S273*波及効果シート!$D$81</f>
        <v>32871903.168185282</v>
      </c>
      <c r="T274" s="507">
        <f>T273*波及効果シート!$D$81</f>
        <v>32871903.168185282</v>
      </c>
      <c r="U274" s="507">
        <f>U273*波及効果シート!$D$81</f>
        <v>32871903.168185282</v>
      </c>
      <c r="V274" s="507">
        <f>V273*波及効果シート!$D$81</f>
        <v>32871903.168185282</v>
      </c>
      <c r="W274" s="507">
        <f>W273*波及効果シート!$D$81</f>
        <v>32871903.168185282</v>
      </c>
      <c r="X274" s="507">
        <f>X273*波及効果シート!$D$81</f>
        <v>32871903.168185282</v>
      </c>
      <c r="Y274" s="507">
        <f>Y273*波及効果シート!$D$81</f>
        <v>32871903.168185282</v>
      </c>
      <c r="Z274" s="507">
        <f>Z273*波及効果シート!$D$81</f>
        <v>32871903.168185282</v>
      </c>
      <c r="AA274" s="507">
        <f>AA273*波及効果シート!$D$81</f>
        <v>32871903.168185282</v>
      </c>
      <c r="AB274" s="507">
        <f>AB273*波及効果シート!$D$81</f>
        <v>32871903.168185282</v>
      </c>
      <c r="AC274" s="507">
        <f>AC273*波及効果シート!$D$81</f>
        <v>32871903.168185282</v>
      </c>
      <c r="AD274" s="507">
        <f>AD273*波及効果シート!$D$81</f>
        <v>32871903.168185282</v>
      </c>
      <c r="AE274" s="507">
        <f>AE273*波及効果シート!$D$81</f>
        <v>32871903.168185282</v>
      </c>
      <c r="AF274" s="507">
        <f>AF273*波及効果シート!$D$81</f>
        <v>32871903.168185282</v>
      </c>
      <c r="AG274" s="507">
        <f>AG273*波及効果シート!$D$81</f>
        <v>32871903.168185282</v>
      </c>
      <c r="AH274" s="507">
        <f>AH273*波及効果シート!$D$81</f>
        <v>32871903.168185282</v>
      </c>
      <c r="AI274" s="548">
        <f t="shared" si="152"/>
        <v>328719031.68185288</v>
      </c>
      <c r="AJ274" s="548">
        <f t="shared" si="153"/>
        <v>657438063.36370564</v>
      </c>
      <c r="AK274" s="510">
        <f t="shared" si="154"/>
        <v>986157095.04555798</v>
      </c>
    </row>
    <row r="275" spans="1:37" ht="11.5" x14ac:dyDescent="0.25">
      <c r="A275" s="505"/>
      <c r="B275" s="452" t="s">
        <v>268</v>
      </c>
      <c r="C275" s="464" t="s">
        <v>247</v>
      </c>
      <c r="D275" s="507"/>
      <c r="E275" s="507">
        <f>E274-E277-E278-E276</f>
        <v>22443452.293807615</v>
      </c>
      <c r="F275" s="507">
        <f t="shared" ref="F275:AH275" si="155">F274-F277-F278-F276</f>
        <v>22443452.293807615</v>
      </c>
      <c r="G275" s="507">
        <f t="shared" si="155"/>
        <v>22443452.293807615</v>
      </c>
      <c r="H275" s="507">
        <f t="shared" si="155"/>
        <v>22443452.293807615</v>
      </c>
      <c r="I275" s="507">
        <f t="shared" si="155"/>
        <v>22443452.293807615</v>
      </c>
      <c r="J275" s="507">
        <f t="shared" si="155"/>
        <v>22443452.293807615</v>
      </c>
      <c r="K275" s="507">
        <f t="shared" si="155"/>
        <v>22443452.293807615</v>
      </c>
      <c r="L275" s="507">
        <f t="shared" si="155"/>
        <v>22443452.293807615</v>
      </c>
      <c r="M275" s="507">
        <f t="shared" si="155"/>
        <v>22443452.293807615</v>
      </c>
      <c r="N275" s="507">
        <f t="shared" si="155"/>
        <v>22443452.293807615</v>
      </c>
      <c r="O275" s="507">
        <f t="shared" si="155"/>
        <v>22443452.293807615</v>
      </c>
      <c r="P275" s="507">
        <f t="shared" si="155"/>
        <v>22443452.293807615</v>
      </c>
      <c r="Q275" s="507">
        <f t="shared" si="155"/>
        <v>22443452.293807615</v>
      </c>
      <c r="R275" s="507">
        <f t="shared" si="155"/>
        <v>22443452.293807615</v>
      </c>
      <c r="S275" s="507">
        <f t="shared" si="155"/>
        <v>22443452.293807615</v>
      </c>
      <c r="T275" s="507">
        <f t="shared" si="155"/>
        <v>22443452.293807615</v>
      </c>
      <c r="U275" s="507">
        <f t="shared" si="155"/>
        <v>22443452.293807615</v>
      </c>
      <c r="V275" s="507">
        <f t="shared" si="155"/>
        <v>22443452.293807615</v>
      </c>
      <c r="W275" s="507">
        <f t="shared" si="155"/>
        <v>22443452.293807615</v>
      </c>
      <c r="X275" s="507">
        <f t="shared" si="155"/>
        <v>22443452.293807615</v>
      </c>
      <c r="Y275" s="507">
        <f t="shared" si="155"/>
        <v>22443452.293807615</v>
      </c>
      <c r="Z275" s="507">
        <f t="shared" si="155"/>
        <v>22443452.293807615</v>
      </c>
      <c r="AA275" s="507">
        <f t="shared" si="155"/>
        <v>22443452.293807615</v>
      </c>
      <c r="AB275" s="507">
        <f t="shared" si="155"/>
        <v>22443452.293807615</v>
      </c>
      <c r="AC275" s="507">
        <f t="shared" si="155"/>
        <v>22443452.293807615</v>
      </c>
      <c r="AD275" s="507">
        <f t="shared" si="155"/>
        <v>22443452.293807615</v>
      </c>
      <c r="AE275" s="507">
        <f t="shared" si="155"/>
        <v>22443452.293807615</v>
      </c>
      <c r="AF275" s="507">
        <f t="shared" si="155"/>
        <v>22443452.293807615</v>
      </c>
      <c r="AG275" s="507">
        <f t="shared" si="155"/>
        <v>22443452.293807615</v>
      </c>
      <c r="AH275" s="507">
        <f t="shared" si="155"/>
        <v>22443452.293807615</v>
      </c>
      <c r="AI275" s="548">
        <f t="shared" si="152"/>
        <v>224434522.9380762</v>
      </c>
      <c r="AJ275" s="548">
        <f t="shared" si="153"/>
        <v>448869045.87615246</v>
      </c>
      <c r="AK275" s="510">
        <f t="shared" si="154"/>
        <v>673303568.81422865</v>
      </c>
    </row>
    <row r="276" spans="1:37" ht="11.5" x14ac:dyDescent="0.25">
      <c r="A276" s="546"/>
      <c r="B276" s="452" t="s">
        <v>1052</v>
      </c>
      <c r="C276" s="465" t="s">
        <v>343</v>
      </c>
      <c r="D276" s="507"/>
      <c r="E276" s="507">
        <f>E274*波及効果シート!$D$53</f>
        <v>6574380.6336370567</v>
      </c>
      <c r="F276" s="507">
        <f>F274*波及効果シート!$D$53</f>
        <v>6574380.6336370567</v>
      </c>
      <c r="G276" s="507">
        <f>G274*波及効果シート!$D$53</f>
        <v>6574380.6336370567</v>
      </c>
      <c r="H276" s="507">
        <f>H274*波及効果シート!$D$53</f>
        <v>6574380.6336370567</v>
      </c>
      <c r="I276" s="507">
        <f>I274*波及効果シート!$D$53</f>
        <v>6574380.6336370567</v>
      </c>
      <c r="J276" s="507">
        <f>J274*波及効果シート!$D$53</f>
        <v>6574380.6336370567</v>
      </c>
      <c r="K276" s="507">
        <f>K274*波及効果シート!$D$53</f>
        <v>6574380.6336370567</v>
      </c>
      <c r="L276" s="507">
        <f>L274*波及効果シート!$D$53</f>
        <v>6574380.6336370567</v>
      </c>
      <c r="M276" s="507">
        <f>M274*波及効果シート!$D$53</f>
        <v>6574380.6336370567</v>
      </c>
      <c r="N276" s="507">
        <f>N274*波及効果シート!$D$53</f>
        <v>6574380.6336370567</v>
      </c>
      <c r="O276" s="507">
        <f>O274*波及効果シート!$D$53</f>
        <v>6574380.6336370567</v>
      </c>
      <c r="P276" s="507">
        <f>P274*波及効果シート!$D$53</f>
        <v>6574380.6336370567</v>
      </c>
      <c r="Q276" s="507">
        <f>Q274*波及効果シート!$D$53</f>
        <v>6574380.6336370567</v>
      </c>
      <c r="R276" s="507">
        <f>R274*波及効果シート!$D$53</f>
        <v>6574380.6336370567</v>
      </c>
      <c r="S276" s="507">
        <f>S274*波及効果シート!$D$53</f>
        <v>6574380.6336370567</v>
      </c>
      <c r="T276" s="507">
        <f>T274*波及効果シート!$D$53</f>
        <v>6574380.6336370567</v>
      </c>
      <c r="U276" s="507">
        <f>U274*波及効果シート!$D$53</f>
        <v>6574380.6336370567</v>
      </c>
      <c r="V276" s="507">
        <f>V274*波及効果シート!$D$53</f>
        <v>6574380.6336370567</v>
      </c>
      <c r="W276" s="507">
        <f>W274*波及効果シート!$D$53</f>
        <v>6574380.6336370567</v>
      </c>
      <c r="X276" s="507">
        <f>X274*波及効果シート!$D$53</f>
        <v>6574380.6336370567</v>
      </c>
      <c r="Y276" s="507">
        <f>Y274*波及効果シート!$D$53</f>
        <v>6574380.6336370567</v>
      </c>
      <c r="Z276" s="507">
        <f>Z274*波及効果シート!$D$53</f>
        <v>6574380.6336370567</v>
      </c>
      <c r="AA276" s="507">
        <f>AA274*波及効果シート!$D$53</f>
        <v>6574380.6336370567</v>
      </c>
      <c r="AB276" s="507">
        <f>AB274*波及効果シート!$D$53</f>
        <v>6574380.6336370567</v>
      </c>
      <c r="AC276" s="507">
        <f>AC274*波及効果シート!$D$53</f>
        <v>6574380.6336370567</v>
      </c>
      <c r="AD276" s="507">
        <f>AD274*波及効果シート!$D$53</f>
        <v>6574380.6336370567</v>
      </c>
      <c r="AE276" s="507">
        <f>AE274*波及効果シート!$D$53</f>
        <v>6574380.6336370567</v>
      </c>
      <c r="AF276" s="507">
        <f>AF274*波及効果シート!$D$53</f>
        <v>6574380.6336370567</v>
      </c>
      <c r="AG276" s="507">
        <f>AG274*波及効果シート!$D$53</f>
        <v>6574380.6336370567</v>
      </c>
      <c r="AH276" s="507">
        <f>AH274*波及効果シート!$D$53</f>
        <v>6574380.6336370567</v>
      </c>
      <c r="AI276" s="548">
        <f>SUM(D276:N276)</f>
        <v>65743806.336370565</v>
      </c>
      <c r="AJ276" s="548">
        <f t="shared" si="153"/>
        <v>131487612.67274113</v>
      </c>
      <c r="AK276" s="510">
        <f t="shared" si="154"/>
        <v>197231419.00911182</v>
      </c>
    </row>
    <row r="277" spans="1:37" ht="11.5" x14ac:dyDescent="0.25">
      <c r="A277" s="505"/>
      <c r="B277" s="452" t="s">
        <v>262</v>
      </c>
      <c r="C277" s="464" t="s">
        <v>247</v>
      </c>
      <c r="D277" s="507"/>
      <c r="E277" s="507">
        <f>E274*(波及効果シート!$D$56+波及効果シート!$D$57)</f>
        <v>1627169.8056538783</v>
      </c>
      <c r="F277" s="507">
        <f>F274*(波及効果シート!$D$56+波及効果シート!$D$57)</f>
        <v>1627169.8056538783</v>
      </c>
      <c r="G277" s="507">
        <f>G274*(波及効果シート!$D$56+波及効果シート!$D$57)</f>
        <v>1627169.8056538783</v>
      </c>
      <c r="H277" s="507">
        <f>H274*(波及効果シート!$D$56+波及効果シート!$D$57)</f>
        <v>1627169.8056538783</v>
      </c>
      <c r="I277" s="507">
        <f>I274*(波及効果シート!$D$56+波及効果シート!$D$57)</f>
        <v>1627169.8056538783</v>
      </c>
      <c r="J277" s="507">
        <f>J274*(波及効果シート!$D$56+波及効果シート!$D$57)</f>
        <v>1627169.8056538783</v>
      </c>
      <c r="K277" s="507">
        <f>K274*(波及効果シート!$D$56+波及効果シート!$D$57)</f>
        <v>1627169.8056538783</v>
      </c>
      <c r="L277" s="507">
        <f>L274*(波及効果シート!$D$56+波及効果シート!$D$57)</f>
        <v>1627169.8056538783</v>
      </c>
      <c r="M277" s="507">
        <f>M274*(波及効果シート!$D$56+波及効果シート!$D$57)</f>
        <v>1627169.8056538783</v>
      </c>
      <c r="N277" s="507">
        <f>N274*(波及効果シート!$D$56+波及効果シート!$D$57)</f>
        <v>1627169.8056538783</v>
      </c>
      <c r="O277" s="507">
        <f>O274*(波及効果シート!$D$56+波及効果シート!$D$57)</f>
        <v>1627169.8056538783</v>
      </c>
      <c r="P277" s="507">
        <f>P274*(波及効果シート!$D$56+波及効果シート!$D$57)</f>
        <v>1627169.8056538783</v>
      </c>
      <c r="Q277" s="507">
        <f>Q274*(波及効果シート!$D$56+波及効果シート!$D$57)</f>
        <v>1627169.8056538783</v>
      </c>
      <c r="R277" s="507">
        <f>R274*(波及効果シート!$D$56+波及効果シート!$D$57)</f>
        <v>1627169.8056538783</v>
      </c>
      <c r="S277" s="507">
        <f>S274*(波及効果シート!$D$56+波及効果シート!$D$57)</f>
        <v>1627169.8056538783</v>
      </c>
      <c r="T277" s="507">
        <f>T274*(波及効果シート!$D$56+波及効果シート!$D$57)</f>
        <v>1627169.8056538783</v>
      </c>
      <c r="U277" s="507">
        <f>U274*(波及効果シート!$D$56+波及効果シート!$D$57)</f>
        <v>1627169.8056538783</v>
      </c>
      <c r="V277" s="507">
        <f>V274*(波及効果シート!$D$56+波及効果シート!$D$57)</f>
        <v>1627169.8056538783</v>
      </c>
      <c r="W277" s="507">
        <f>W274*(波及効果シート!$D$56+波及効果シート!$D$57)</f>
        <v>1627169.8056538783</v>
      </c>
      <c r="X277" s="507">
        <f>X274*(波及効果シート!$D$56+波及効果シート!$D$57)</f>
        <v>1627169.8056538783</v>
      </c>
      <c r="Y277" s="507">
        <f>Y274*(波及効果シート!$D$56+波及効果シート!$D$57)</f>
        <v>1627169.8056538783</v>
      </c>
      <c r="Z277" s="507">
        <f>Z274*(波及効果シート!$D$56+波及効果シート!$D$57)</f>
        <v>1627169.8056538783</v>
      </c>
      <c r="AA277" s="507">
        <f>AA274*(波及効果シート!$D$56+波及効果シート!$D$57)</f>
        <v>1627169.8056538783</v>
      </c>
      <c r="AB277" s="507">
        <f>AB274*(波及効果シート!$D$56+波及効果シート!$D$57)</f>
        <v>1627169.8056538783</v>
      </c>
      <c r="AC277" s="507">
        <f>AC274*(波及効果シート!$D$56+波及効果シート!$D$57)</f>
        <v>1627169.8056538783</v>
      </c>
      <c r="AD277" s="507">
        <f>AD274*(波及効果シート!$D$56+波及効果シート!$D$57)</f>
        <v>1627169.8056538783</v>
      </c>
      <c r="AE277" s="507">
        <f>AE274*(波及効果シート!$D$56+波及効果シート!$D$57)</f>
        <v>1627169.8056538783</v>
      </c>
      <c r="AF277" s="507">
        <f>AF274*(波及効果シート!$D$56+波及効果シート!$D$57)</f>
        <v>1627169.8056538783</v>
      </c>
      <c r="AG277" s="507">
        <f>AG274*(波及効果シート!$D$56+波及効果シート!$D$57)</f>
        <v>1627169.8056538783</v>
      </c>
      <c r="AH277" s="507">
        <f>AH274*(波及効果シート!$D$56+波及効果シート!$D$57)</f>
        <v>1627169.8056538783</v>
      </c>
      <c r="AI277" s="548">
        <f t="shared" si="152"/>
        <v>16271698.056538779</v>
      </c>
      <c r="AJ277" s="548">
        <f t="shared" si="153"/>
        <v>32543396.113077555</v>
      </c>
      <c r="AK277" s="510">
        <f t="shared" si="154"/>
        <v>48815094.169616334</v>
      </c>
    </row>
    <row r="278" spans="1:37" ht="11.5" x14ac:dyDescent="0.25">
      <c r="A278" s="505"/>
      <c r="B278" s="452" t="s">
        <v>264</v>
      </c>
      <c r="C278" s="465" t="s">
        <v>247</v>
      </c>
      <c r="D278" s="507"/>
      <c r="E278" s="507">
        <f>E274*(波及効果シート!$D$57+波及効果シート!$D$59)</f>
        <v>2226900.4350867355</v>
      </c>
      <c r="F278" s="507">
        <f>F274*(波及効果シート!$D$57+波及効果シート!$D$59)</f>
        <v>2226900.4350867355</v>
      </c>
      <c r="G278" s="507">
        <f>G274*(波及効果シート!$D$57+波及効果シート!$D$59)</f>
        <v>2226900.4350867355</v>
      </c>
      <c r="H278" s="507">
        <f>H274*(波及効果シート!$D$57+波及効果シート!$D$59)</f>
        <v>2226900.4350867355</v>
      </c>
      <c r="I278" s="507">
        <f>I274*(波及効果シート!$D$57+波及効果シート!$D$59)</f>
        <v>2226900.4350867355</v>
      </c>
      <c r="J278" s="507">
        <f>J274*(波及効果シート!$D$57+波及効果シート!$D$59)</f>
        <v>2226900.4350867355</v>
      </c>
      <c r="K278" s="507">
        <f>K274*(波及効果シート!$D$57+波及効果シート!$D$59)</f>
        <v>2226900.4350867355</v>
      </c>
      <c r="L278" s="507">
        <f>L274*(波及効果シート!$D$57+波及効果シート!$D$59)</f>
        <v>2226900.4350867355</v>
      </c>
      <c r="M278" s="507">
        <f>M274*(波及効果シート!$D$57+波及効果シート!$D$59)</f>
        <v>2226900.4350867355</v>
      </c>
      <c r="N278" s="507">
        <f>N274*(波及効果シート!$D$57+波及効果シート!$D$59)</f>
        <v>2226900.4350867355</v>
      </c>
      <c r="O278" s="507">
        <f>O274*(波及効果シート!$D$57+波及効果シート!$D$59)</f>
        <v>2226900.4350867355</v>
      </c>
      <c r="P278" s="507">
        <f>P274*(波及効果シート!$D$57+波及効果シート!$D$59)</f>
        <v>2226900.4350867355</v>
      </c>
      <c r="Q278" s="507">
        <f>Q274*(波及効果シート!$D$57+波及効果シート!$D$59)</f>
        <v>2226900.4350867355</v>
      </c>
      <c r="R278" s="507">
        <f>R274*(波及効果シート!$D$57+波及効果シート!$D$59)</f>
        <v>2226900.4350867355</v>
      </c>
      <c r="S278" s="507">
        <f>S274*(波及効果シート!$D$57+波及効果シート!$D$59)</f>
        <v>2226900.4350867355</v>
      </c>
      <c r="T278" s="507">
        <f>T274*(波及効果シート!$D$57+波及効果シート!$D$59)</f>
        <v>2226900.4350867355</v>
      </c>
      <c r="U278" s="507">
        <f>U274*(波及効果シート!$D$57+波及効果シート!$D$59)</f>
        <v>2226900.4350867355</v>
      </c>
      <c r="V278" s="507">
        <f>V274*(波及効果シート!$D$57+波及効果シート!$D$59)</f>
        <v>2226900.4350867355</v>
      </c>
      <c r="W278" s="507">
        <f>W274*(波及効果シート!$D$57+波及効果シート!$D$59)</f>
        <v>2226900.4350867355</v>
      </c>
      <c r="X278" s="507">
        <f>X274*(波及効果シート!$D$57+波及効果シート!$D$59)</f>
        <v>2226900.4350867355</v>
      </c>
      <c r="Y278" s="507">
        <f>Y274*(波及効果シート!$D$57+波及効果シート!$D$59)</f>
        <v>2226900.4350867355</v>
      </c>
      <c r="Z278" s="507">
        <f>Z274*(波及効果シート!$D$57+波及効果シート!$D$59)</f>
        <v>2226900.4350867355</v>
      </c>
      <c r="AA278" s="507">
        <f>AA274*(波及効果シート!$D$57+波及効果シート!$D$59)</f>
        <v>2226900.4350867355</v>
      </c>
      <c r="AB278" s="507">
        <f>AB274*(波及効果シート!$D$57+波及効果シート!$D$59)</f>
        <v>2226900.4350867355</v>
      </c>
      <c r="AC278" s="507">
        <f>AC274*(波及効果シート!$D$57+波及効果シート!$D$59)</f>
        <v>2226900.4350867355</v>
      </c>
      <c r="AD278" s="507">
        <f>AD274*(波及効果シート!$D$57+波及効果シート!$D$59)</f>
        <v>2226900.4350867355</v>
      </c>
      <c r="AE278" s="507">
        <f>AE274*(波及効果シート!$D$57+波及効果シート!$D$59)</f>
        <v>2226900.4350867355</v>
      </c>
      <c r="AF278" s="507">
        <f>AF274*(波及効果シート!$D$57+波及効果シート!$D$59)</f>
        <v>2226900.4350867355</v>
      </c>
      <c r="AG278" s="507">
        <f>AG274*(波及効果シート!$D$57+波及効果シート!$D$59)</f>
        <v>2226900.4350867355</v>
      </c>
      <c r="AH278" s="507">
        <f>AH274*(波及効果シート!$D$57+波及効果シート!$D$59)</f>
        <v>2226900.4350867355</v>
      </c>
      <c r="AI278" s="548">
        <f t="shared" si="152"/>
        <v>22269004.35086735</v>
      </c>
      <c r="AJ278" s="548">
        <f t="shared" si="153"/>
        <v>44538008.701734699</v>
      </c>
      <c r="AK278" s="510">
        <f t="shared" si="154"/>
        <v>66807013.052602045</v>
      </c>
    </row>
    <row r="279" spans="1:37" ht="11.5" x14ac:dyDescent="0.25">
      <c r="A279" s="452" t="s">
        <v>266</v>
      </c>
      <c r="B279" s="426"/>
      <c r="C279" s="464" t="s">
        <v>247</v>
      </c>
      <c r="D279" s="507"/>
      <c r="E279" s="507">
        <f>E273*波及効果シート!$D$82</f>
        <v>4108987.8960231603</v>
      </c>
      <c r="F279" s="507">
        <f>F273*波及効果シート!$D$82</f>
        <v>4108987.8960231603</v>
      </c>
      <c r="G279" s="507">
        <f>G273*波及効果シート!$D$82</f>
        <v>4108987.8960231603</v>
      </c>
      <c r="H279" s="507">
        <f>H273*波及効果シート!$D$82</f>
        <v>4108987.8960231603</v>
      </c>
      <c r="I279" s="507">
        <f>I273*波及効果シート!$D$82</f>
        <v>4108987.8960231603</v>
      </c>
      <c r="J279" s="507">
        <f>J273*波及効果シート!$D$82</f>
        <v>4108987.8960231603</v>
      </c>
      <c r="K279" s="507">
        <f>K273*波及効果シート!$D$82</f>
        <v>4108987.8960231603</v>
      </c>
      <c r="L279" s="507">
        <f>L273*波及効果シート!$D$82</f>
        <v>4108987.8960231603</v>
      </c>
      <c r="M279" s="507">
        <f>M273*波及効果シート!$D$82</f>
        <v>4108987.8960231603</v>
      </c>
      <c r="N279" s="507">
        <f>N273*波及効果シート!$D$82</f>
        <v>4108987.8960231603</v>
      </c>
      <c r="O279" s="507">
        <f>O273*波及効果シート!$D$82</f>
        <v>4108987.8960231603</v>
      </c>
      <c r="P279" s="507">
        <f>P273*波及効果シート!$D$82</f>
        <v>4108987.8960231603</v>
      </c>
      <c r="Q279" s="507">
        <f>Q273*波及効果シート!$D$82</f>
        <v>4108987.8960231603</v>
      </c>
      <c r="R279" s="507">
        <f>R273*波及効果シート!$D$82</f>
        <v>4108987.8960231603</v>
      </c>
      <c r="S279" s="507">
        <f>S273*波及効果シート!$D$82</f>
        <v>4108987.8960231603</v>
      </c>
      <c r="T279" s="507">
        <f>T273*波及効果シート!$D$82</f>
        <v>4108987.8960231603</v>
      </c>
      <c r="U279" s="507">
        <f>U273*波及効果シート!$D$82</f>
        <v>4108987.8960231603</v>
      </c>
      <c r="V279" s="507">
        <f>V273*波及効果シート!$D$82</f>
        <v>4108987.8960231603</v>
      </c>
      <c r="W279" s="507">
        <f>W273*波及効果シート!$D$82</f>
        <v>4108987.8960231603</v>
      </c>
      <c r="X279" s="507">
        <f>X273*波及効果シート!$D$82</f>
        <v>4108987.8960231603</v>
      </c>
      <c r="Y279" s="507">
        <f>Y273*波及効果シート!$D$82</f>
        <v>4108987.8960231603</v>
      </c>
      <c r="Z279" s="507">
        <f>Z273*波及効果シート!$D$82</f>
        <v>4108987.8960231603</v>
      </c>
      <c r="AA279" s="507">
        <f>AA273*波及効果シート!$D$82</f>
        <v>4108987.8960231603</v>
      </c>
      <c r="AB279" s="507">
        <f>AB273*波及効果シート!$D$82</f>
        <v>4108987.8960231603</v>
      </c>
      <c r="AC279" s="507">
        <f>AC273*波及効果シート!$D$82</f>
        <v>4108987.8960231603</v>
      </c>
      <c r="AD279" s="507">
        <f>AD273*波及効果シート!$D$82</f>
        <v>4108987.8960231603</v>
      </c>
      <c r="AE279" s="507">
        <f>AE273*波及効果シート!$D$82</f>
        <v>4108987.8960231603</v>
      </c>
      <c r="AF279" s="507">
        <f>AF273*波及効果シート!$D$82</f>
        <v>4108987.8960231603</v>
      </c>
      <c r="AG279" s="507">
        <f>AG273*波及効果シート!$D$82</f>
        <v>4108987.8960231603</v>
      </c>
      <c r="AH279" s="507">
        <f>AH273*波及効果シート!$D$82</f>
        <v>4108987.8960231603</v>
      </c>
      <c r="AI279" s="548">
        <f t="shared" si="152"/>
        <v>41089878.96023161</v>
      </c>
      <c r="AJ279" s="548">
        <f t="shared" si="153"/>
        <v>82179757.920463204</v>
      </c>
      <c r="AK279" s="510">
        <f t="shared" si="154"/>
        <v>123269636.88069475</v>
      </c>
    </row>
    <row r="280" spans="1:37" ht="11.5" x14ac:dyDescent="0.25">
      <c r="A280" s="505"/>
      <c r="B280" s="452" t="s">
        <v>268</v>
      </c>
      <c r="C280" s="464" t="s">
        <v>37</v>
      </c>
      <c r="D280" s="507"/>
      <c r="E280" s="507">
        <f t="shared" ref="E280" si="156">E279-E282-E283-E281</f>
        <v>2805431.5367259518</v>
      </c>
      <c r="F280" s="507">
        <f t="shared" ref="F280:AH280" si="157">F279-F282-F283-F281</f>
        <v>2805431.5367259518</v>
      </c>
      <c r="G280" s="507">
        <f t="shared" si="157"/>
        <v>2805431.5367259518</v>
      </c>
      <c r="H280" s="507">
        <f t="shared" si="157"/>
        <v>2805431.5367259518</v>
      </c>
      <c r="I280" s="507">
        <f t="shared" si="157"/>
        <v>2805431.5367259518</v>
      </c>
      <c r="J280" s="507">
        <f t="shared" si="157"/>
        <v>2805431.5367259518</v>
      </c>
      <c r="K280" s="507">
        <f t="shared" si="157"/>
        <v>2805431.5367259518</v>
      </c>
      <c r="L280" s="507">
        <f t="shared" si="157"/>
        <v>2805431.5367259518</v>
      </c>
      <c r="M280" s="507">
        <f t="shared" si="157"/>
        <v>2805431.5367259518</v>
      </c>
      <c r="N280" s="507">
        <f t="shared" si="157"/>
        <v>2805431.5367259518</v>
      </c>
      <c r="O280" s="507">
        <f t="shared" si="157"/>
        <v>2805431.5367259518</v>
      </c>
      <c r="P280" s="507">
        <f t="shared" si="157"/>
        <v>2805431.5367259518</v>
      </c>
      <c r="Q280" s="507">
        <f t="shared" si="157"/>
        <v>2805431.5367259518</v>
      </c>
      <c r="R280" s="507">
        <f t="shared" si="157"/>
        <v>2805431.5367259518</v>
      </c>
      <c r="S280" s="507">
        <f t="shared" si="157"/>
        <v>2805431.5367259518</v>
      </c>
      <c r="T280" s="507">
        <f t="shared" si="157"/>
        <v>2805431.5367259518</v>
      </c>
      <c r="U280" s="507">
        <f t="shared" si="157"/>
        <v>2805431.5367259518</v>
      </c>
      <c r="V280" s="507">
        <f t="shared" si="157"/>
        <v>2805431.5367259518</v>
      </c>
      <c r="W280" s="507">
        <f t="shared" si="157"/>
        <v>2805431.5367259518</v>
      </c>
      <c r="X280" s="507">
        <f t="shared" si="157"/>
        <v>2805431.5367259518</v>
      </c>
      <c r="Y280" s="507">
        <f t="shared" si="157"/>
        <v>2805431.5367259518</v>
      </c>
      <c r="Z280" s="507">
        <f t="shared" si="157"/>
        <v>2805431.5367259518</v>
      </c>
      <c r="AA280" s="507">
        <f t="shared" si="157"/>
        <v>2805431.5367259518</v>
      </c>
      <c r="AB280" s="507">
        <f t="shared" si="157"/>
        <v>2805431.5367259518</v>
      </c>
      <c r="AC280" s="507">
        <f t="shared" si="157"/>
        <v>2805431.5367259518</v>
      </c>
      <c r="AD280" s="507">
        <f t="shared" si="157"/>
        <v>2805431.5367259518</v>
      </c>
      <c r="AE280" s="507">
        <f t="shared" si="157"/>
        <v>2805431.5367259518</v>
      </c>
      <c r="AF280" s="507">
        <f t="shared" si="157"/>
        <v>2805431.5367259518</v>
      </c>
      <c r="AG280" s="507">
        <f t="shared" si="157"/>
        <v>2805431.5367259518</v>
      </c>
      <c r="AH280" s="507">
        <f t="shared" si="157"/>
        <v>2805431.5367259518</v>
      </c>
      <c r="AI280" s="548">
        <f>SUM(D280:N280)</f>
        <v>28054315.367259525</v>
      </c>
      <c r="AJ280" s="548">
        <f>SUM(D280:X280)</f>
        <v>56108630.734519057</v>
      </c>
      <c r="AK280" s="510">
        <f>SUM(D280:AH280)</f>
        <v>84162946.101778582</v>
      </c>
    </row>
    <row r="281" spans="1:37" ht="11.5" x14ac:dyDescent="0.25">
      <c r="A281" s="546"/>
      <c r="B281" s="452" t="s">
        <v>1052</v>
      </c>
      <c r="C281" s="465" t="s">
        <v>343</v>
      </c>
      <c r="D281" s="507"/>
      <c r="E281" s="507">
        <f>E279*波及効果シート!$D$53</f>
        <v>821797.57920463209</v>
      </c>
      <c r="F281" s="507">
        <f>F279*波及効果シート!$D$53</f>
        <v>821797.57920463209</v>
      </c>
      <c r="G281" s="507">
        <f>G279*波及効果シート!$D$53</f>
        <v>821797.57920463209</v>
      </c>
      <c r="H281" s="507">
        <f>H279*波及効果シート!$D$53</f>
        <v>821797.57920463209</v>
      </c>
      <c r="I281" s="507">
        <f>I279*波及効果シート!$D$53</f>
        <v>821797.57920463209</v>
      </c>
      <c r="J281" s="507">
        <f>J279*波及効果シート!$D$53</f>
        <v>821797.57920463209</v>
      </c>
      <c r="K281" s="507">
        <f>K279*波及効果シート!$D$53</f>
        <v>821797.57920463209</v>
      </c>
      <c r="L281" s="507">
        <f>L279*波及効果シート!$D$53</f>
        <v>821797.57920463209</v>
      </c>
      <c r="M281" s="507">
        <f>M279*波及効果シート!$D$53</f>
        <v>821797.57920463209</v>
      </c>
      <c r="N281" s="507">
        <f>N279*波及効果シート!$D$53</f>
        <v>821797.57920463209</v>
      </c>
      <c r="O281" s="507">
        <f>O279*波及効果シート!$D$53</f>
        <v>821797.57920463209</v>
      </c>
      <c r="P281" s="507">
        <f>P279*波及効果シート!$D$53</f>
        <v>821797.57920463209</v>
      </c>
      <c r="Q281" s="507">
        <f>Q279*波及効果シート!$D$53</f>
        <v>821797.57920463209</v>
      </c>
      <c r="R281" s="507">
        <f>R279*波及効果シート!$D$53</f>
        <v>821797.57920463209</v>
      </c>
      <c r="S281" s="507">
        <f>S279*波及効果シート!$D$53</f>
        <v>821797.57920463209</v>
      </c>
      <c r="T281" s="507">
        <f>T279*波及効果シート!$D$53</f>
        <v>821797.57920463209</v>
      </c>
      <c r="U281" s="507">
        <f>U279*波及効果シート!$D$53</f>
        <v>821797.57920463209</v>
      </c>
      <c r="V281" s="507">
        <f>V279*波及効果シート!$D$53</f>
        <v>821797.57920463209</v>
      </c>
      <c r="W281" s="507">
        <f>W279*波及効果シート!$D$53</f>
        <v>821797.57920463209</v>
      </c>
      <c r="X281" s="507">
        <f>X279*波及効果シート!$D$53</f>
        <v>821797.57920463209</v>
      </c>
      <c r="Y281" s="507">
        <f>Y279*波及効果シート!$D$53</f>
        <v>821797.57920463209</v>
      </c>
      <c r="Z281" s="507">
        <f>Z279*波及効果シート!$D$53</f>
        <v>821797.57920463209</v>
      </c>
      <c r="AA281" s="507">
        <f>AA279*波及効果シート!$D$53</f>
        <v>821797.57920463209</v>
      </c>
      <c r="AB281" s="507">
        <f>AB279*波及効果シート!$D$53</f>
        <v>821797.57920463209</v>
      </c>
      <c r="AC281" s="507">
        <f>AC279*波及効果シート!$D$53</f>
        <v>821797.57920463209</v>
      </c>
      <c r="AD281" s="507">
        <f>AD279*波及効果シート!$D$53</f>
        <v>821797.57920463209</v>
      </c>
      <c r="AE281" s="507">
        <f>AE279*波及効果シート!$D$53</f>
        <v>821797.57920463209</v>
      </c>
      <c r="AF281" s="507">
        <f>AF279*波及効果シート!$D$53</f>
        <v>821797.57920463209</v>
      </c>
      <c r="AG281" s="507">
        <f>AG279*波及効果シート!$D$53</f>
        <v>821797.57920463209</v>
      </c>
      <c r="AH281" s="507">
        <f>AH279*波及効果シート!$D$53</f>
        <v>821797.57920463209</v>
      </c>
      <c r="AI281" s="548">
        <f>SUM(D281:N281)</f>
        <v>8217975.7920463206</v>
      </c>
      <c r="AJ281" s="548">
        <f t="shared" ref="AJ281:AJ284" si="158">SUM(D281:X281)</f>
        <v>16435951.584092641</v>
      </c>
      <c r="AK281" s="510">
        <f t="shared" ref="AK281:AK284" si="159">SUM(D281:AH281)</f>
        <v>24653927.376138978</v>
      </c>
    </row>
    <row r="282" spans="1:37" ht="11.5" x14ac:dyDescent="0.25">
      <c r="A282" s="505"/>
      <c r="B282" s="452" t="s">
        <v>262</v>
      </c>
      <c r="C282" s="464" t="s">
        <v>247</v>
      </c>
      <c r="D282" s="507"/>
      <c r="E282" s="507">
        <f>E279*(波及効果シート!$D$56+波及効果シート!$D$57)</f>
        <v>203396.22570673478</v>
      </c>
      <c r="F282" s="507">
        <f>F279*(波及効果シート!$D$56+波及効果シート!$D$57)</f>
        <v>203396.22570673478</v>
      </c>
      <c r="G282" s="507">
        <f>G279*(波及効果シート!$D$56+波及効果シート!$D$57)</f>
        <v>203396.22570673478</v>
      </c>
      <c r="H282" s="507">
        <f>H279*(波及効果シート!$D$56+波及効果シート!$D$57)</f>
        <v>203396.22570673478</v>
      </c>
      <c r="I282" s="507">
        <f>I279*(波及効果シート!$D$56+波及効果シート!$D$57)</f>
        <v>203396.22570673478</v>
      </c>
      <c r="J282" s="507">
        <f>J279*(波及効果シート!$D$56+波及効果シート!$D$57)</f>
        <v>203396.22570673478</v>
      </c>
      <c r="K282" s="507">
        <f>K279*(波及効果シート!$D$56+波及効果シート!$D$57)</f>
        <v>203396.22570673478</v>
      </c>
      <c r="L282" s="507">
        <f>L279*(波及効果シート!$D$56+波及効果シート!$D$57)</f>
        <v>203396.22570673478</v>
      </c>
      <c r="M282" s="507">
        <f>M279*(波及効果シート!$D$56+波及効果シート!$D$57)</f>
        <v>203396.22570673478</v>
      </c>
      <c r="N282" s="507">
        <f>N279*(波及効果シート!$D$56+波及効果シート!$D$57)</f>
        <v>203396.22570673478</v>
      </c>
      <c r="O282" s="507">
        <f>O279*(波及効果シート!$D$56+波及効果シート!$D$57)</f>
        <v>203396.22570673478</v>
      </c>
      <c r="P282" s="507">
        <f>P279*(波及効果シート!$D$56+波及効果シート!$D$57)</f>
        <v>203396.22570673478</v>
      </c>
      <c r="Q282" s="507">
        <f>Q279*(波及効果シート!$D$56+波及効果シート!$D$57)</f>
        <v>203396.22570673478</v>
      </c>
      <c r="R282" s="507">
        <f>R279*(波及効果シート!$D$56+波及効果シート!$D$57)</f>
        <v>203396.22570673478</v>
      </c>
      <c r="S282" s="507">
        <f>S279*(波及効果シート!$D$56+波及効果シート!$D$57)</f>
        <v>203396.22570673478</v>
      </c>
      <c r="T282" s="507">
        <f>T279*(波及効果シート!$D$56+波及効果シート!$D$57)</f>
        <v>203396.22570673478</v>
      </c>
      <c r="U282" s="507">
        <f>U279*(波及効果シート!$D$56+波及効果シート!$D$57)</f>
        <v>203396.22570673478</v>
      </c>
      <c r="V282" s="507">
        <f>V279*(波及効果シート!$D$56+波及効果シート!$D$57)</f>
        <v>203396.22570673478</v>
      </c>
      <c r="W282" s="507">
        <f>W279*(波及効果シート!$D$56+波及効果シート!$D$57)</f>
        <v>203396.22570673478</v>
      </c>
      <c r="X282" s="507">
        <f>X279*(波及効果シート!$D$56+波及効果シート!$D$57)</f>
        <v>203396.22570673478</v>
      </c>
      <c r="Y282" s="507">
        <f>Y279*(波及効果シート!$D$56+波及効果シート!$D$57)</f>
        <v>203396.22570673478</v>
      </c>
      <c r="Z282" s="507">
        <f>Z279*(波及効果シート!$D$56+波及効果シート!$D$57)</f>
        <v>203396.22570673478</v>
      </c>
      <c r="AA282" s="507">
        <f>AA279*(波及効果シート!$D$56+波及効果シート!$D$57)</f>
        <v>203396.22570673478</v>
      </c>
      <c r="AB282" s="507">
        <f>AB279*(波及効果シート!$D$56+波及効果シート!$D$57)</f>
        <v>203396.22570673478</v>
      </c>
      <c r="AC282" s="507">
        <f>AC279*(波及効果シート!$D$56+波及効果シート!$D$57)</f>
        <v>203396.22570673478</v>
      </c>
      <c r="AD282" s="507">
        <f>AD279*(波及効果シート!$D$56+波及効果シート!$D$57)</f>
        <v>203396.22570673478</v>
      </c>
      <c r="AE282" s="507">
        <f>AE279*(波及効果シート!$D$56+波及効果シート!$D$57)</f>
        <v>203396.22570673478</v>
      </c>
      <c r="AF282" s="507">
        <f>AF279*(波及効果シート!$D$56+波及効果シート!$D$57)</f>
        <v>203396.22570673478</v>
      </c>
      <c r="AG282" s="507">
        <f>AG279*(波及効果シート!$D$56+波及効果シート!$D$57)</f>
        <v>203396.22570673478</v>
      </c>
      <c r="AH282" s="507">
        <f>AH279*(波及効果シート!$D$56+波及効果シート!$D$57)</f>
        <v>203396.22570673478</v>
      </c>
      <c r="AI282" s="548">
        <f t="shared" si="152"/>
        <v>2033962.2570673474</v>
      </c>
      <c r="AJ282" s="548">
        <f t="shared" si="158"/>
        <v>4067924.5141346944</v>
      </c>
      <c r="AK282" s="510">
        <f t="shared" si="159"/>
        <v>6101886.7712020418</v>
      </c>
    </row>
    <row r="283" spans="1:37" ht="11.5" x14ac:dyDescent="0.25">
      <c r="A283" s="505"/>
      <c r="B283" s="452" t="s">
        <v>264</v>
      </c>
      <c r="C283" s="465" t="s">
        <v>247</v>
      </c>
      <c r="D283" s="507"/>
      <c r="E283" s="507">
        <f>E279*(波及効果シート!$D$57+波及効果シート!$D$59)</f>
        <v>278362.55438584194</v>
      </c>
      <c r="F283" s="507">
        <f>F279*(波及効果シート!$D$57+波及効果シート!$D$59)</f>
        <v>278362.55438584194</v>
      </c>
      <c r="G283" s="507">
        <f>G279*(波及効果シート!$D$57+波及効果シート!$D$59)</f>
        <v>278362.55438584194</v>
      </c>
      <c r="H283" s="507">
        <f>H279*(波及効果シート!$D$57+波及効果シート!$D$59)</f>
        <v>278362.55438584194</v>
      </c>
      <c r="I283" s="507">
        <f>I279*(波及効果シート!$D$57+波及効果シート!$D$59)</f>
        <v>278362.55438584194</v>
      </c>
      <c r="J283" s="507">
        <f>J279*(波及効果シート!$D$57+波及効果シート!$D$59)</f>
        <v>278362.55438584194</v>
      </c>
      <c r="K283" s="507">
        <f>K279*(波及効果シート!$D$57+波及効果シート!$D$59)</f>
        <v>278362.55438584194</v>
      </c>
      <c r="L283" s="507">
        <f>L279*(波及効果シート!$D$57+波及効果シート!$D$59)</f>
        <v>278362.55438584194</v>
      </c>
      <c r="M283" s="507">
        <f>M279*(波及効果シート!$D$57+波及効果シート!$D$59)</f>
        <v>278362.55438584194</v>
      </c>
      <c r="N283" s="507">
        <f>N279*(波及効果シート!$D$57+波及効果シート!$D$59)</f>
        <v>278362.55438584194</v>
      </c>
      <c r="O283" s="507">
        <f>O279*(波及効果シート!$D$57+波及効果シート!$D$59)</f>
        <v>278362.55438584194</v>
      </c>
      <c r="P283" s="507">
        <f>P279*(波及効果シート!$D$57+波及効果シート!$D$59)</f>
        <v>278362.55438584194</v>
      </c>
      <c r="Q283" s="507">
        <f>Q279*(波及効果シート!$D$57+波及効果シート!$D$59)</f>
        <v>278362.55438584194</v>
      </c>
      <c r="R283" s="507">
        <f>R279*(波及効果シート!$D$57+波及効果シート!$D$59)</f>
        <v>278362.55438584194</v>
      </c>
      <c r="S283" s="507">
        <f>S279*(波及効果シート!$D$57+波及効果シート!$D$59)</f>
        <v>278362.55438584194</v>
      </c>
      <c r="T283" s="507">
        <f>T279*(波及効果シート!$D$57+波及効果シート!$D$59)</f>
        <v>278362.55438584194</v>
      </c>
      <c r="U283" s="507">
        <f>U279*(波及効果シート!$D$57+波及効果シート!$D$59)</f>
        <v>278362.55438584194</v>
      </c>
      <c r="V283" s="507">
        <f>V279*(波及効果シート!$D$57+波及効果シート!$D$59)</f>
        <v>278362.55438584194</v>
      </c>
      <c r="W283" s="507">
        <f>W279*(波及効果シート!$D$57+波及効果シート!$D$59)</f>
        <v>278362.55438584194</v>
      </c>
      <c r="X283" s="507">
        <f>X279*(波及効果シート!$D$57+波及効果シート!$D$59)</f>
        <v>278362.55438584194</v>
      </c>
      <c r="Y283" s="507">
        <f>Y279*(波及効果シート!$D$57+波及効果シート!$D$59)</f>
        <v>278362.55438584194</v>
      </c>
      <c r="Z283" s="507">
        <f>Z279*(波及効果シート!$D$57+波及効果シート!$D$59)</f>
        <v>278362.55438584194</v>
      </c>
      <c r="AA283" s="507">
        <f>AA279*(波及効果シート!$D$57+波及効果シート!$D$59)</f>
        <v>278362.55438584194</v>
      </c>
      <c r="AB283" s="507">
        <f>AB279*(波及効果シート!$D$57+波及効果シート!$D$59)</f>
        <v>278362.55438584194</v>
      </c>
      <c r="AC283" s="507">
        <f>AC279*(波及効果シート!$D$57+波及効果シート!$D$59)</f>
        <v>278362.55438584194</v>
      </c>
      <c r="AD283" s="507">
        <f>AD279*(波及効果シート!$D$57+波及効果シート!$D$59)</f>
        <v>278362.55438584194</v>
      </c>
      <c r="AE283" s="507">
        <f>AE279*(波及効果シート!$D$57+波及効果シート!$D$59)</f>
        <v>278362.55438584194</v>
      </c>
      <c r="AF283" s="507">
        <f>AF279*(波及効果シート!$D$57+波及効果シート!$D$59)</f>
        <v>278362.55438584194</v>
      </c>
      <c r="AG283" s="507">
        <f>AG279*(波及効果シート!$D$57+波及効果シート!$D$59)</f>
        <v>278362.55438584194</v>
      </c>
      <c r="AH283" s="507">
        <f>AH279*(波及効果シート!$D$57+波及効果シート!$D$59)</f>
        <v>278362.55438584194</v>
      </c>
      <c r="AI283" s="548">
        <f t="shared" si="152"/>
        <v>2783625.5438584187</v>
      </c>
      <c r="AJ283" s="548">
        <f t="shared" si="158"/>
        <v>5567251.0877168374</v>
      </c>
      <c r="AK283" s="510">
        <f t="shared" si="159"/>
        <v>8350876.6315752557</v>
      </c>
    </row>
    <row r="284" spans="1:37" ht="11.5" x14ac:dyDescent="0.25">
      <c r="A284" s="1258" t="s">
        <v>267</v>
      </c>
      <c r="B284" s="1258"/>
      <c r="C284" s="373" t="s">
        <v>247</v>
      </c>
      <c r="D284" s="508"/>
      <c r="E284" s="1254">
        <f>E273*波及効果シート!$D$83</f>
        <v>4108987.8960231603</v>
      </c>
      <c r="F284" s="508">
        <f>F273*波及効果シート!$D$83</f>
        <v>4108987.8960231603</v>
      </c>
      <c r="G284" s="508">
        <f>G273*波及効果シート!$D$83</f>
        <v>4108987.8960231603</v>
      </c>
      <c r="H284" s="508">
        <f>H273*波及効果シート!$D$83</f>
        <v>4108987.8960231603</v>
      </c>
      <c r="I284" s="508">
        <f>I273*波及効果シート!$D$83</f>
        <v>4108987.8960231603</v>
      </c>
      <c r="J284" s="508">
        <f>J273*波及効果シート!$D$83</f>
        <v>4108987.8960231603</v>
      </c>
      <c r="K284" s="508">
        <f>K273*波及効果シート!$D$83</f>
        <v>4108987.8960231603</v>
      </c>
      <c r="L284" s="508">
        <f>L273*波及効果シート!$D$83</f>
        <v>4108987.8960231603</v>
      </c>
      <c r="M284" s="508">
        <f>M273*波及効果シート!$D$83</f>
        <v>4108987.8960231603</v>
      </c>
      <c r="N284" s="508">
        <f>N273*波及効果シート!$D$83</f>
        <v>4108987.8960231603</v>
      </c>
      <c r="O284" s="508">
        <f>O273*波及効果シート!$D$83</f>
        <v>4108987.8960231603</v>
      </c>
      <c r="P284" s="508">
        <f>P273*波及効果シート!$D$83</f>
        <v>4108987.8960231603</v>
      </c>
      <c r="Q284" s="508">
        <f>Q273*波及効果シート!$D$83</f>
        <v>4108987.8960231603</v>
      </c>
      <c r="R284" s="508">
        <f>R273*波及効果シート!$D$83</f>
        <v>4108987.8960231603</v>
      </c>
      <c r="S284" s="508">
        <f>S273*波及効果シート!$D$83</f>
        <v>4108987.8960231603</v>
      </c>
      <c r="T284" s="508">
        <f>T273*波及効果シート!$D$83</f>
        <v>4108987.8960231603</v>
      </c>
      <c r="U284" s="508">
        <f>U273*波及効果シート!$D$83</f>
        <v>4108987.8960231603</v>
      </c>
      <c r="V284" s="508">
        <f>V273*波及効果シート!$D$83</f>
        <v>4108987.8960231603</v>
      </c>
      <c r="W284" s="508">
        <f>W273*波及効果シート!$D$83</f>
        <v>4108987.8960231603</v>
      </c>
      <c r="X284" s="508">
        <f>X273*波及効果シート!$D$83</f>
        <v>4108987.8960231603</v>
      </c>
      <c r="Y284" s="508">
        <f>Y273*波及効果シート!$D$83</f>
        <v>4108987.8960231603</v>
      </c>
      <c r="Z284" s="508">
        <f>Z273*波及効果シート!$D$83</f>
        <v>4108987.8960231603</v>
      </c>
      <c r="AA284" s="508">
        <f>AA273*波及効果シート!$D$83</f>
        <v>4108987.8960231603</v>
      </c>
      <c r="AB284" s="508">
        <f>AB273*波及効果シート!$D$83</f>
        <v>4108987.8960231603</v>
      </c>
      <c r="AC284" s="508">
        <f>AC273*波及効果シート!$D$83</f>
        <v>4108987.8960231603</v>
      </c>
      <c r="AD284" s="508">
        <f>AD273*波及効果シート!$D$83</f>
        <v>4108987.8960231603</v>
      </c>
      <c r="AE284" s="508">
        <f>AE273*波及効果シート!$D$83</f>
        <v>4108987.8960231603</v>
      </c>
      <c r="AF284" s="508">
        <f>AF273*波及効果シート!$D$83</f>
        <v>4108987.8960231603</v>
      </c>
      <c r="AG284" s="508">
        <f>AG273*波及効果シート!$D$83</f>
        <v>4108987.8960231603</v>
      </c>
      <c r="AH284" s="508">
        <f>AH273*波及効果シート!$D$83</f>
        <v>4108987.8960231603</v>
      </c>
      <c r="AI284" s="550">
        <f t="shared" si="152"/>
        <v>41089878.96023161</v>
      </c>
      <c r="AJ284" s="550">
        <f t="shared" si="158"/>
        <v>82179757.920463204</v>
      </c>
      <c r="AK284" s="551">
        <f t="shared" si="159"/>
        <v>123269636.88069475</v>
      </c>
    </row>
    <row r="285" spans="1:37" ht="11.5" x14ac:dyDescent="0.25">
      <c r="A285" s="1256" t="s">
        <v>1053</v>
      </c>
      <c r="B285" s="452"/>
      <c r="C285" s="465" t="s">
        <v>1050</v>
      </c>
      <c r="D285" s="507">
        <f t="shared" ref="D285:AK285" si="160">SUM(D275,D277:D278,D280,D282:D283)</f>
        <v>0</v>
      </c>
      <c r="E285" s="507">
        <f>SUM(E275,E277:E278,E280,E282:E283)</f>
        <v>29584712.851366755</v>
      </c>
      <c r="F285" s="507">
        <f t="shared" si="160"/>
        <v>29584712.851366755</v>
      </c>
      <c r="G285" s="507">
        <f t="shared" si="160"/>
        <v>29584712.851366755</v>
      </c>
      <c r="H285" s="507">
        <f t="shared" si="160"/>
        <v>29584712.851366755</v>
      </c>
      <c r="I285" s="507">
        <f t="shared" si="160"/>
        <v>29584712.851366755</v>
      </c>
      <c r="J285" s="507">
        <f t="shared" si="160"/>
        <v>29584712.851366755</v>
      </c>
      <c r="K285" s="507">
        <f t="shared" si="160"/>
        <v>29584712.851366755</v>
      </c>
      <c r="L285" s="507">
        <f t="shared" si="160"/>
        <v>29584712.851366755</v>
      </c>
      <c r="M285" s="507">
        <f t="shared" si="160"/>
        <v>29584712.851366755</v>
      </c>
      <c r="N285" s="507">
        <f t="shared" si="160"/>
        <v>29584712.851366755</v>
      </c>
      <c r="O285" s="507">
        <f t="shared" si="160"/>
        <v>29584712.851366755</v>
      </c>
      <c r="P285" s="507">
        <f t="shared" si="160"/>
        <v>29584712.851366755</v>
      </c>
      <c r="Q285" s="507">
        <f t="shared" si="160"/>
        <v>29584712.851366755</v>
      </c>
      <c r="R285" s="507">
        <f t="shared" si="160"/>
        <v>29584712.851366755</v>
      </c>
      <c r="S285" s="507">
        <f t="shared" si="160"/>
        <v>29584712.851366755</v>
      </c>
      <c r="T285" s="507">
        <f t="shared" si="160"/>
        <v>29584712.851366755</v>
      </c>
      <c r="U285" s="507">
        <f t="shared" si="160"/>
        <v>29584712.851366755</v>
      </c>
      <c r="V285" s="507">
        <f t="shared" si="160"/>
        <v>29584712.851366755</v>
      </c>
      <c r="W285" s="507">
        <f t="shared" si="160"/>
        <v>29584712.851366755</v>
      </c>
      <c r="X285" s="507">
        <f t="shared" si="160"/>
        <v>29584712.851366755</v>
      </c>
      <c r="Y285" s="507">
        <f t="shared" si="160"/>
        <v>29584712.851366755</v>
      </c>
      <c r="Z285" s="507">
        <f t="shared" si="160"/>
        <v>29584712.851366755</v>
      </c>
      <c r="AA285" s="507">
        <f t="shared" si="160"/>
        <v>29584712.851366755</v>
      </c>
      <c r="AB285" s="507">
        <f t="shared" si="160"/>
        <v>29584712.851366755</v>
      </c>
      <c r="AC285" s="507">
        <f t="shared" si="160"/>
        <v>29584712.851366755</v>
      </c>
      <c r="AD285" s="507">
        <f t="shared" si="160"/>
        <v>29584712.851366755</v>
      </c>
      <c r="AE285" s="507">
        <f t="shared" si="160"/>
        <v>29584712.851366755</v>
      </c>
      <c r="AF285" s="507">
        <f t="shared" si="160"/>
        <v>29584712.851366755</v>
      </c>
      <c r="AG285" s="507">
        <f t="shared" si="160"/>
        <v>29584712.851366755</v>
      </c>
      <c r="AH285" s="507">
        <f t="shared" si="160"/>
        <v>29584712.851366755</v>
      </c>
      <c r="AI285" s="548">
        <f t="shared" si="160"/>
        <v>295847128.51366758</v>
      </c>
      <c r="AJ285" s="548">
        <f t="shared" si="160"/>
        <v>591694257.02733529</v>
      </c>
      <c r="AK285" s="510">
        <f t="shared" si="160"/>
        <v>887541385.54100299</v>
      </c>
    </row>
    <row r="286" spans="1:37" ht="11.5" x14ac:dyDescent="0.25">
      <c r="A286" s="1257" t="s">
        <v>1054</v>
      </c>
      <c r="B286" s="1258"/>
      <c r="C286" s="1259" t="s">
        <v>37</v>
      </c>
      <c r="D286" s="1254">
        <f t="shared" ref="D286:AK286" si="161">SUM(D284,D281,D276)</f>
        <v>0</v>
      </c>
      <c r="E286" s="1254">
        <f>SUM(E284,E281,E276)</f>
        <v>11505166.108864849</v>
      </c>
      <c r="F286" s="1254">
        <f t="shared" si="161"/>
        <v>11505166.108864849</v>
      </c>
      <c r="G286" s="1254">
        <f t="shared" si="161"/>
        <v>11505166.108864849</v>
      </c>
      <c r="H286" s="1254">
        <f t="shared" si="161"/>
        <v>11505166.108864849</v>
      </c>
      <c r="I286" s="1254">
        <f t="shared" si="161"/>
        <v>11505166.108864849</v>
      </c>
      <c r="J286" s="1254">
        <f t="shared" si="161"/>
        <v>11505166.108864849</v>
      </c>
      <c r="K286" s="1254">
        <f t="shared" si="161"/>
        <v>11505166.108864849</v>
      </c>
      <c r="L286" s="1254">
        <f t="shared" si="161"/>
        <v>11505166.108864849</v>
      </c>
      <c r="M286" s="1254">
        <f t="shared" si="161"/>
        <v>11505166.108864849</v>
      </c>
      <c r="N286" s="1254">
        <f t="shared" si="161"/>
        <v>11505166.108864849</v>
      </c>
      <c r="O286" s="1254">
        <f t="shared" si="161"/>
        <v>11505166.108864849</v>
      </c>
      <c r="P286" s="1254">
        <f t="shared" si="161"/>
        <v>11505166.108864849</v>
      </c>
      <c r="Q286" s="1254">
        <f t="shared" si="161"/>
        <v>11505166.108864849</v>
      </c>
      <c r="R286" s="1254">
        <f t="shared" si="161"/>
        <v>11505166.108864849</v>
      </c>
      <c r="S286" s="1254">
        <f t="shared" si="161"/>
        <v>11505166.108864849</v>
      </c>
      <c r="T286" s="1254">
        <f t="shared" si="161"/>
        <v>11505166.108864849</v>
      </c>
      <c r="U286" s="1254">
        <f t="shared" si="161"/>
        <v>11505166.108864849</v>
      </c>
      <c r="V286" s="1254">
        <f t="shared" si="161"/>
        <v>11505166.108864849</v>
      </c>
      <c r="W286" s="1254">
        <f t="shared" si="161"/>
        <v>11505166.108864849</v>
      </c>
      <c r="X286" s="1254">
        <f t="shared" si="161"/>
        <v>11505166.108864849</v>
      </c>
      <c r="Y286" s="1254">
        <f t="shared" si="161"/>
        <v>11505166.108864849</v>
      </c>
      <c r="Z286" s="1254">
        <f t="shared" si="161"/>
        <v>11505166.108864849</v>
      </c>
      <c r="AA286" s="1254">
        <f t="shared" si="161"/>
        <v>11505166.108864849</v>
      </c>
      <c r="AB286" s="1254">
        <f t="shared" si="161"/>
        <v>11505166.108864849</v>
      </c>
      <c r="AC286" s="1254">
        <f t="shared" si="161"/>
        <v>11505166.108864849</v>
      </c>
      <c r="AD286" s="1254">
        <f t="shared" si="161"/>
        <v>11505166.108864849</v>
      </c>
      <c r="AE286" s="1254">
        <f t="shared" si="161"/>
        <v>11505166.108864849</v>
      </c>
      <c r="AF286" s="1254">
        <f t="shared" si="161"/>
        <v>11505166.108864849</v>
      </c>
      <c r="AG286" s="1254">
        <f t="shared" si="161"/>
        <v>11505166.108864849</v>
      </c>
      <c r="AH286" s="1254">
        <f t="shared" si="161"/>
        <v>11505166.108864849</v>
      </c>
      <c r="AI286" s="550">
        <f t="shared" si="161"/>
        <v>115051661.0886485</v>
      </c>
      <c r="AJ286" s="550">
        <f t="shared" si="161"/>
        <v>230103322.177297</v>
      </c>
      <c r="AK286" s="551">
        <f t="shared" si="161"/>
        <v>345154983.26594555</v>
      </c>
    </row>
    <row r="287" spans="1:37" ht="11.5" x14ac:dyDescent="0.25">
      <c r="A287" s="452" t="str">
        <f>B36</f>
        <v>メンテナンス費</v>
      </c>
      <c r="B287" s="426"/>
      <c r="C287" s="464" t="s">
        <v>37</v>
      </c>
      <c r="D287" s="507"/>
      <c r="E287" s="507">
        <f t="shared" ref="E287:AH287" si="162">E36</f>
        <v>24653927.376138959</v>
      </c>
      <c r="F287" s="507">
        <f t="shared" si="162"/>
        <v>24653927.376138959</v>
      </c>
      <c r="G287" s="507">
        <f t="shared" si="162"/>
        <v>24653927.376138959</v>
      </c>
      <c r="H287" s="507">
        <f t="shared" si="162"/>
        <v>24653927.376138959</v>
      </c>
      <c r="I287" s="507">
        <f t="shared" si="162"/>
        <v>24653927.376138959</v>
      </c>
      <c r="J287" s="507">
        <f t="shared" si="162"/>
        <v>24653927.376138959</v>
      </c>
      <c r="K287" s="507">
        <f t="shared" si="162"/>
        <v>24653927.376138959</v>
      </c>
      <c r="L287" s="507">
        <f t="shared" si="162"/>
        <v>24653927.376138959</v>
      </c>
      <c r="M287" s="507">
        <f t="shared" si="162"/>
        <v>24653927.376138959</v>
      </c>
      <c r="N287" s="507">
        <f t="shared" si="162"/>
        <v>24653927.376138959</v>
      </c>
      <c r="O287" s="507">
        <f t="shared" si="162"/>
        <v>24653927.376138959</v>
      </c>
      <c r="P287" s="507">
        <f t="shared" si="162"/>
        <v>24653927.376138959</v>
      </c>
      <c r="Q287" s="507">
        <f t="shared" si="162"/>
        <v>24653927.376138959</v>
      </c>
      <c r="R287" s="507">
        <f t="shared" si="162"/>
        <v>24653927.376138959</v>
      </c>
      <c r="S287" s="507">
        <f t="shared" si="162"/>
        <v>24653927.376138959</v>
      </c>
      <c r="T287" s="507">
        <f t="shared" si="162"/>
        <v>24653927.376138959</v>
      </c>
      <c r="U287" s="507">
        <f t="shared" si="162"/>
        <v>24653927.376138959</v>
      </c>
      <c r="V287" s="507">
        <f t="shared" si="162"/>
        <v>24653927.376138959</v>
      </c>
      <c r="W287" s="507">
        <f t="shared" si="162"/>
        <v>24653927.376138959</v>
      </c>
      <c r="X287" s="507">
        <f t="shared" si="162"/>
        <v>24653927.376138959</v>
      </c>
      <c r="Y287" s="507">
        <f t="shared" si="162"/>
        <v>24653927.376138959</v>
      </c>
      <c r="Z287" s="507">
        <f t="shared" si="162"/>
        <v>24653927.376138959</v>
      </c>
      <c r="AA287" s="507">
        <f t="shared" si="162"/>
        <v>24653927.376138959</v>
      </c>
      <c r="AB287" s="507">
        <f t="shared" si="162"/>
        <v>24653927.376138959</v>
      </c>
      <c r="AC287" s="507">
        <f t="shared" si="162"/>
        <v>24653927.376138959</v>
      </c>
      <c r="AD287" s="507">
        <f t="shared" si="162"/>
        <v>24653927.376138959</v>
      </c>
      <c r="AE287" s="507">
        <f t="shared" si="162"/>
        <v>24653927.376138959</v>
      </c>
      <c r="AF287" s="507">
        <f t="shared" si="162"/>
        <v>24653927.376138959</v>
      </c>
      <c r="AG287" s="507">
        <f t="shared" si="162"/>
        <v>24653927.376138959</v>
      </c>
      <c r="AH287" s="507">
        <f t="shared" si="162"/>
        <v>24653927.376138959</v>
      </c>
      <c r="AI287" s="548">
        <f>SUM(D287:N287)</f>
        <v>246539273.76138958</v>
      </c>
      <c r="AJ287" s="548">
        <f>SUM(D287:X287)</f>
        <v>493078547.52277941</v>
      </c>
      <c r="AK287" s="510">
        <f>SUM(D287:AH287)</f>
        <v>739617821.28416872</v>
      </c>
    </row>
    <row r="288" spans="1:37" ht="11.5" x14ac:dyDescent="0.25">
      <c r="A288" s="502" t="str">
        <f>地域経済性分析・初期条件!$G$69</f>
        <v>その他のサービス業</v>
      </c>
      <c r="C288" s="465"/>
      <c r="D288" s="507"/>
      <c r="E288" s="478"/>
      <c r="F288" s="479"/>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548"/>
      <c r="AJ288" s="548"/>
      <c r="AK288" s="510"/>
    </row>
    <row r="289" spans="1:37" ht="11.5" x14ac:dyDescent="0.25">
      <c r="A289" s="546" t="str">
        <f>A288&amp;B289</f>
        <v>その他のサービス業売上（税別）</v>
      </c>
      <c r="B289" s="452" t="s">
        <v>1047</v>
      </c>
      <c r="C289" s="464" t="s">
        <v>37</v>
      </c>
      <c r="D289" s="507">
        <f>D287*地域経済性分析・初期条件!$F$69</f>
        <v>0</v>
      </c>
      <c r="E289" s="507">
        <f>E287*地域経済性分析・初期条件!$F$69</f>
        <v>12326963.68806948</v>
      </c>
      <c r="F289" s="507">
        <f>F287*地域経済性分析・初期条件!$F$69</f>
        <v>12326963.68806948</v>
      </c>
      <c r="G289" s="507">
        <f>G287*地域経済性分析・初期条件!$F$69</f>
        <v>12326963.68806948</v>
      </c>
      <c r="H289" s="507">
        <f>H287*地域経済性分析・初期条件!$F$69</f>
        <v>12326963.68806948</v>
      </c>
      <c r="I289" s="507">
        <f>I287*地域経済性分析・初期条件!$F$69</f>
        <v>12326963.68806948</v>
      </c>
      <c r="J289" s="507">
        <f>J287*地域経済性分析・初期条件!$F$69</f>
        <v>12326963.68806948</v>
      </c>
      <c r="K289" s="507">
        <f>K287*地域経済性分析・初期条件!$F$69</f>
        <v>12326963.68806948</v>
      </c>
      <c r="L289" s="507">
        <f>L287*地域経済性分析・初期条件!$F$69</f>
        <v>12326963.68806948</v>
      </c>
      <c r="M289" s="507">
        <f>M287*地域経済性分析・初期条件!$F$69</f>
        <v>12326963.68806948</v>
      </c>
      <c r="N289" s="507">
        <f>N287*地域経済性分析・初期条件!$F$69</f>
        <v>12326963.68806948</v>
      </c>
      <c r="O289" s="507">
        <f>O287*地域経済性分析・初期条件!$F$69</f>
        <v>12326963.68806948</v>
      </c>
      <c r="P289" s="507">
        <f>P287*地域経済性分析・初期条件!$F$69</f>
        <v>12326963.68806948</v>
      </c>
      <c r="Q289" s="507">
        <f>Q287*地域経済性分析・初期条件!$F$69</f>
        <v>12326963.68806948</v>
      </c>
      <c r="R289" s="507">
        <f>R287*地域経済性分析・初期条件!$F$69</f>
        <v>12326963.68806948</v>
      </c>
      <c r="S289" s="507">
        <f>S287*地域経済性分析・初期条件!$F$69</f>
        <v>12326963.68806948</v>
      </c>
      <c r="T289" s="507">
        <f>T287*地域経済性分析・初期条件!$F$69</f>
        <v>12326963.68806948</v>
      </c>
      <c r="U289" s="507">
        <f>U287*地域経済性分析・初期条件!$F$69</f>
        <v>12326963.68806948</v>
      </c>
      <c r="V289" s="507">
        <f>V287*地域経済性分析・初期条件!$F$69</f>
        <v>12326963.68806948</v>
      </c>
      <c r="W289" s="507">
        <f>W287*地域経済性分析・初期条件!$F$69</f>
        <v>12326963.68806948</v>
      </c>
      <c r="X289" s="507">
        <f>X287*地域経済性分析・初期条件!$F$69</f>
        <v>12326963.68806948</v>
      </c>
      <c r="Y289" s="507">
        <f>Y287*地域経済性分析・初期条件!$F$69</f>
        <v>12326963.68806948</v>
      </c>
      <c r="Z289" s="507">
        <f>Z287*地域経済性分析・初期条件!$F$69</f>
        <v>12326963.68806948</v>
      </c>
      <c r="AA289" s="507">
        <f>AA287*地域経済性分析・初期条件!$F$69</f>
        <v>12326963.68806948</v>
      </c>
      <c r="AB289" s="507">
        <f>AB287*地域経済性分析・初期条件!$F$69</f>
        <v>12326963.68806948</v>
      </c>
      <c r="AC289" s="507">
        <f>AC287*地域経済性分析・初期条件!$F$69</f>
        <v>12326963.68806948</v>
      </c>
      <c r="AD289" s="507">
        <f>AD287*地域経済性分析・初期条件!$F$69</f>
        <v>12326963.68806948</v>
      </c>
      <c r="AE289" s="507">
        <f>AE287*地域経済性分析・初期条件!$F$69</f>
        <v>12326963.68806948</v>
      </c>
      <c r="AF289" s="507">
        <f>AF287*地域経済性分析・初期条件!$F$69</f>
        <v>12326963.68806948</v>
      </c>
      <c r="AG289" s="507">
        <f>AG287*地域経済性分析・初期条件!$F$69</f>
        <v>12326963.68806948</v>
      </c>
      <c r="AH289" s="507">
        <f>AH287*地域経済性分析・初期条件!$F$69</f>
        <v>12326963.68806948</v>
      </c>
      <c r="AI289" s="548">
        <f t="shared" ref="AI289:AI297" si="163">SUM(D289:N289)</f>
        <v>123269636.88069479</v>
      </c>
      <c r="AJ289" s="548">
        <f t="shared" ref="AJ289:AJ297" si="164">SUM(D289:X289)</f>
        <v>246539273.7613897</v>
      </c>
      <c r="AK289" s="510">
        <f t="shared" ref="AK289:AK297" si="165">SUM(D289:AH289)</f>
        <v>369808910.64208436</v>
      </c>
    </row>
    <row r="290" spans="1:37" ht="11.5" x14ac:dyDescent="0.25">
      <c r="A290" s="546" t="str">
        <f>A288&amp;B290</f>
        <v>その他のサービス業消費税（都道府県）</v>
      </c>
      <c r="B290" s="452" t="s">
        <v>263</v>
      </c>
      <c r="C290" s="464" t="s">
        <v>37</v>
      </c>
      <c r="D290" s="507">
        <f>D289*波及効果シート!$D$72</f>
        <v>0</v>
      </c>
      <c r="E290" s="507">
        <f>E289*波及効果シート!$D$72</f>
        <v>135596.60056876426</v>
      </c>
      <c r="F290" s="507">
        <f>F289*波及効果シート!$D$72</f>
        <v>135596.60056876426</v>
      </c>
      <c r="G290" s="507">
        <f>G289*波及効果シート!$D$72</f>
        <v>135596.60056876426</v>
      </c>
      <c r="H290" s="507">
        <f>H289*波及効果シート!$D$72</f>
        <v>135596.60056876426</v>
      </c>
      <c r="I290" s="507">
        <f>I289*波及効果シート!$D$72</f>
        <v>135596.60056876426</v>
      </c>
      <c r="J290" s="507">
        <f>J289*波及効果シート!$D$72</f>
        <v>135596.60056876426</v>
      </c>
      <c r="K290" s="507">
        <f>K289*波及効果シート!$D$72</f>
        <v>135596.60056876426</v>
      </c>
      <c r="L290" s="507">
        <f>L289*波及効果シート!$D$72</f>
        <v>135596.60056876426</v>
      </c>
      <c r="M290" s="507">
        <f>M289*波及効果シート!$D$72</f>
        <v>135596.60056876426</v>
      </c>
      <c r="N290" s="507">
        <f>N289*波及効果シート!$D$72</f>
        <v>135596.60056876426</v>
      </c>
      <c r="O290" s="507">
        <f>O289*波及効果シート!$D$72</f>
        <v>135596.60056876426</v>
      </c>
      <c r="P290" s="507">
        <f>P289*波及効果シート!$D$72</f>
        <v>135596.60056876426</v>
      </c>
      <c r="Q290" s="507">
        <f>Q289*波及効果シート!$D$72</f>
        <v>135596.60056876426</v>
      </c>
      <c r="R290" s="507">
        <f>R289*波及効果シート!$D$72</f>
        <v>135596.60056876426</v>
      </c>
      <c r="S290" s="507">
        <f>S289*波及効果シート!$D$72</f>
        <v>135596.60056876426</v>
      </c>
      <c r="T290" s="507">
        <f>T289*波及効果シート!$D$72</f>
        <v>135596.60056876426</v>
      </c>
      <c r="U290" s="507">
        <f>U289*波及効果シート!$D$72</f>
        <v>135596.60056876426</v>
      </c>
      <c r="V290" s="507">
        <f>V289*波及効果シート!$D$72</f>
        <v>135596.60056876426</v>
      </c>
      <c r="W290" s="507">
        <f>W289*波及効果シート!$D$72</f>
        <v>135596.60056876426</v>
      </c>
      <c r="X290" s="507">
        <f>X289*波及効果シート!$D$72</f>
        <v>135596.60056876426</v>
      </c>
      <c r="Y290" s="507">
        <f>Y289*波及効果シート!$D$72</f>
        <v>135596.60056876426</v>
      </c>
      <c r="Z290" s="507">
        <f>Z289*波及効果シート!$D$72</f>
        <v>135596.60056876426</v>
      </c>
      <c r="AA290" s="507">
        <f>AA289*波及効果シート!$D$72</f>
        <v>135596.60056876426</v>
      </c>
      <c r="AB290" s="507">
        <f>AB289*波及効果シート!$D$72</f>
        <v>135596.60056876426</v>
      </c>
      <c r="AC290" s="507">
        <f>AC289*波及効果シート!$D$72</f>
        <v>135596.60056876426</v>
      </c>
      <c r="AD290" s="507">
        <f>AD289*波及効果シート!$D$72</f>
        <v>135596.60056876426</v>
      </c>
      <c r="AE290" s="507">
        <f>AE289*波及効果シート!$D$72</f>
        <v>135596.60056876426</v>
      </c>
      <c r="AF290" s="507">
        <f>AF289*波及効果シート!$D$72</f>
        <v>135596.60056876426</v>
      </c>
      <c r="AG290" s="507">
        <f>AG289*波及効果シート!$D$72</f>
        <v>135596.60056876426</v>
      </c>
      <c r="AH290" s="507">
        <f>AH289*波及効果シート!$D$72</f>
        <v>135596.60056876426</v>
      </c>
      <c r="AI290" s="548">
        <f t="shared" si="163"/>
        <v>1355966.0056876428</v>
      </c>
      <c r="AJ290" s="548">
        <f t="shared" si="164"/>
        <v>2711932.0113752866</v>
      </c>
      <c r="AK290" s="510">
        <f t="shared" si="165"/>
        <v>4067898.0170629304</v>
      </c>
    </row>
    <row r="291" spans="1:37" ht="11.5" x14ac:dyDescent="0.25">
      <c r="A291" s="546" t="str">
        <f>A288&amp;B291</f>
        <v>その他のサービス業消費税（市町村）</v>
      </c>
      <c r="B291" s="452" t="s">
        <v>1048</v>
      </c>
      <c r="C291" s="465" t="s">
        <v>37</v>
      </c>
      <c r="D291" s="507">
        <f>D289*波及効果シート!$D$74</f>
        <v>0</v>
      </c>
      <c r="E291" s="507">
        <f>E289*波及効果シート!$D$74</f>
        <v>135596.60056876426</v>
      </c>
      <c r="F291" s="507">
        <f>F289*波及効果シート!$D$74</f>
        <v>135596.60056876426</v>
      </c>
      <c r="G291" s="507">
        <f>G289*波及効果シート!$D$74</f>
        <v>135596.60056876426</v>
      </c>
      <c r="H291" s="507">
        <f>H289*波及効果シート!$D$74</f>
        <v>135596.60056876426</v>
      </c>
      <c r="I291" s="507">
        <f>I289*波及効果シート!$D$74</f>
        <v>135596.60056876426</v>
      </c>
      <c r="J291" s="507">
        <f>J289*波及効果シート!$D$74</f>
        <v>135596.60056876426</v>
      </c>
      <c r="K291" s="507">
        <f>K289*波及効果シート!$D$74</f>
        <v>135596.60056876426</v>
      </c>
      <c r="L291" s="507">
        <f>L289*波及効果シート!$D$74</f>
        <v>135596.60056876426</v>
      </c>
      <c r="M291" s="507">
        <f>M289*波及効果シート!$D$74</f>
        <v>135596.60056876426</v>
      </c>
      <c r="N291" s="507">
        <f>N289*波及効果シート!$D$74</f>
        <v>135596.60056876426</v>
      </c>
      <c r="O291" s="507">
        <f>O289*波及効果シート!$D$74</f>
        <v>135596.60056876426</v>
      </c>
      <c r="P291" s="507">
        <f>P289*波及効果シート!$D$74</f>
        <v>135596.60056876426</v>
      </c>
      <c r="Q291" s="507">
        <f>Q289*波及効果シート!$D$74</f>
        <v>135596.60056876426</v>
      </c>
      <c r="R291" s="507">
        <f>R289*波及効果シート!$D$74</f>
        <v>135596.60056876426</v>
      </c>
      <c r="S291" s="507">
        <f>S289*波及効果シート!$D$74</f>
        <v>135596.60056876426</v>
      </c>
      <c r="T291" s="507">
        <f>T289*波及効果シート!$D$74</f>
        <v>135596.60056876426</v>
      </c>
      <c r="U291" s="507">
        <f>U289*波及効果シート!$D$74</f>
        <v>135596.60056876426</v>
      </c>
      <c r="V291" s="507">
        <f>V289*波及効果シート!$D$74</f>
        <v>135596.60056876426</v>
      </c>
      <c r="W291" s="507">
        <f>W289*波及効果シート!$D$74</f>
        <v>135596.60056876426</v>
      </c>
      <c r="X291" s="507">
        <f>X289*波及効果シート!$D$74</f>
        <v>135596.60056876426</v>
      </c>
      <c r="Y291" s="507">
        <f>Y289*波及効果シート!$D$74</f>
        <v>135596.60056876426</v>
      </c>
      <c r="Z291" s="507">
        <f>Z289*波及効果シート!$D$74</f>
        <v>135596.60056876426</v>
      </c>
      <c r="AA291" s="507">
        <f>AA289*波及効果シート!$D$74</f>
        <v>135596.60056876426</v>
      </c>
      <c r="AB291" s="507">
        <f>AB289*波及効果シート!$D$74</f>
        <v>135596.60056876426</v>
      </c>
      <c r="AC291" s="507">
        <f>AC289*波及効果シート!$D$74</f>
        <v>135596.60056876426</v>
      </c>
      <c r="AD291" s="507">
        <f>AD289*波及効果シート!$D$74</f>
        <v>135596.60056876426</v>
      </c>
      <c r="AE291" s="507">
        <f>AE289*波及効果シート!$D$74</f>
        <v>135596.60056876426</v>
      </c>
      <c r="AF291" s="507">
        <f>AF289*波及効果シート!$D$74</f>
        <v>135596.60056876426</v>
      </c>
      <c r="AG291" s="507">
        <f>AG289*波及効果シート!$D$74</f>
        <v>135596.60056876426</v>
      </c>
      <c r="AH291" s="507">
        <f>AH289*波及効果シート!$D$74</f>
        <v>135596.60056876426</v>
      </c>
      <c r="AI291" s="548">
        <f t="shared" si="163"/>
        <v>1355966.0056876428</v>
      </c>
      <c r="AJ291" s="548">
        <f t="shared" si="164"/>
        <v>2711932.0113752866</v>
      </c>
      <c r="AK291" s="510">
        <f t="shared" si="165"/>
        <v>4067898.0170629304</v>
      </c>
    </row>
    <row r="292" spans="1:37" ht="11.5" x14ac:dyDescent="0.25">
      <c r="A292" s="546" t="str">
        <f>A288&amp;B292</f>
        <v>その他のサービス業所得税（国税）</v>
      </c>
      <c r="B292" s="452" t="s">
        <v>356</v>
      </c>
      <c r="C292" s="465" t="s">
        <v>37</v>
      </c>
      <c r="D292" s="507">
        <f>D289*地域経済性分析・初期条件!$P$69</f>
        <v>0</v>
      </c>
      <c r="E292" s="507">
        <f>E289*地域経済性分析・初期条件!$P$69</f>
        <v>0</v>
      </c>
      <c r="F292" s="507">
        <f>F289*地域経済性分析・初期条件!$P$69</f>
        <v>0</v>
      </c>
      <c r="G292" s="507">
        <f>G289*地域経済性分析・初期条件!$P$69</f>
        <v>0</v>
      </c>
      <c r="H292" s="507">
        <f>H289*地域経済性分析・初期条件!$P$69</f>
        <v>0</v>
      </c>
      <c r="I292" s="507">
        <f>I289*地域経済性分析・初期条件!$P$69</f>
        <v>0</v>
      </c>
      <c r="J292" s="507">
        <f>J289*地域経済性分析・初期条件!$P$69</f>
        <v>0</v>
      </c>
      <c r="K292" s="507">
        <f>K289*地域経済性分析・初期条件!$P$69</f>
        <v>0</v>
      </c>
      <c r="L292" s="507">
        <f>L289*地域経済性分析・初期条件!$P$69</f>
        <v>0</v>
      </c>
      <c r="M292" s="507">
        <f>M289*地域経済性分析・初期条件!$P$69</f>
        <v>0</v>
      </c>
      <c r="N292" s="507">
        <f>N289*地域経済性分析・初期条件!$P$69</f>
        <v>0</v>
      </c>
      <c r="O292" s="507">
        <f>O289*地域経済性分析・初期条件!$P$69</f>
        <v>0</v>
      </c>
      <c r="P292" s="507">
        <f>P289*地域経済性分析・初期条件!$P$69</f>
        <v>0</v>
      </c>
      <c r="Q292" s="507">
        <f>Q289*地域経済性分析・初期条件!$P$69</f>
        <v>0</v>
      </c>
      <c r="R292" s="507">
        <f>R289*地域経済性分析・初期条件!$P$69</f>
        <v>0</v>
      </c>
      <c r="S292" s="507">
        <f>S289*地域経済性分析・初期条件!$P$69</f>
        <v>0</v>
      </c>
      <c r="T292" s="507">
        <f>T289*地域経済性分析・初期条件!$P$69</f>
        <v>0</v>
      </c>
      <c r="U292" s="507">
        <f>U289*地域経済性分析・初期条件!$P$69</f>
        <v>0</v>
      </c>
      <c r="V292" s="507">
        <f>V289*地域経済性分析・初期条件!$P$69</f>
        <v>0</v>
      </c>
      <c r="W292" s="507">
        <f>W289*地域経済性分析・初期条件!$P$69</f>
        <v>0</v>
      </c>
      <c r="X292" s="507">
        <f>X289*地域経済性分析・初期条件!$P$69</f>
        <v>0</v>
      </c>
      <c r="Y292" s="507">
        <f>Y289*地域経済性分析・初期条件!$P$69</f>
        <v>0</v>
      </c>
      <c r="Z292" s="507">
        <f>Z289*地域経済性分析・初期条件!$P$69</f>
        <v>0</v>
      </c>
      <c r="AA292" s="507">
        <f>AA289*地域経済性分析・初期条件!$P$69</f>
        <v>0</v>
      </c>
      <c r="AB292" s="507">
        <f>AB289*地域経済性分析・初期条件!$P$69</f>
        <v>0</v>
      </c>
      <c r="AC292" s="507">
        <f>AC289*地域経済性分析・初期条件!$P$69</f>
        <v>0</v>
      </c>
      <c r="AD292" s="507">
        <f>AD289*地域経済性分析・初期条件!$P$69</f>
        <v>0</v>
      </c>
      <c r="AE292" s="507">
        <f>AE289*地域経済性分析・初期条件!$P$69</f>
        <v>0</v>
      </c>
      <c r="AF292" s="507">
        <f>AF289*地域経済性分析・初期条件!$P$69</f>
        <v>0</v>
      </c>
      <c r="AG292" s="507">
        <f>AG289*地域経済性分析・初期条件!$P$69</f>
        <v>0</v>
      </c>
      <c r="AH292" s="507">
        <f>AH289*地域経済性分析・初期条件!$P$69</f>
        <v>0</v>
      </c>
      <c r="AI292" s="548">
        <f t="shared" si="163"/>
        <v>0</v>
      </c>
      <c r="AJ292" s="548">
        <f t="shared" si="164"/>
        <v>0</v>
      </c>
      <c r="AK292" s="510">
        <f t="shared" si="165"/>
        <v>0</v>
      </c>
    </row>
    <row r="293" spans="1:37" ht="11.5" x14ac:dyDescent="0.25">
      <c r="A293" s="546" t="str">
        <f>A288&amp;B293</f>
        <v>その他のサービス業法人税（国税）</v>
      </c>
      <c r="B293" s="452" t="s">
        <v>355</v>
      </c>
      <c r="C293" s="465" t="s">
        <v>37</v>
      </c>
      <c r="D293" s="507">
        <f>D289*地域経済性分析・初期条件!$Q$69</f>
        <v>0</v>
      </c>
      <c r="E293" s="507">
        <f>E289*地域経済性分析・初期条件!$Q$69</f>
        <v>0</v>
      </c>
      <c r="F293" s="507">
        <f>F289*地域経済性分析・初期条件!$Q$69</f>
        <v>0</v>
      </c>
      <c r="G293" s="507">
        <f>G289*地域経済性分析・初期条件!$Q$69</f>
        <v>0</v>
      </c>
      <c r="H293" s="507">
        <f>H289*地域経済性分析・初期条件!$Q$69</f>
        <v>0</v>
      </c>
      <c r="I293" s="507">
        <f>I289*地域経済性分析・初期条件!$Q$69</f>
        <v>0</v>
      </c>
      <c r="J293" s="507">
        <f>J289*地域経済性分析・初期条件!$Q$69</f>
        <v>0</v>
      </c>
      <c r="K293" s="507">
        <f>K289*地域経済性分析・初期条件!$Q$69</f>
        <v>0</v>
      </c>
      <c r="L293" s="507">
        <f>L289*地域経済性分析・初期条件!$Q$69</f>
        <v>0</v>
      </c>
      <c r="M293" s="507">
        <f>M289*地域経済性分析・初期条件!$Q$69</f>
        <v>0</v>
      </c>
      <c r="N293" s="507">
        <f>N289*地域経済性分析・初期条件!$Q$69</f>
        <v>0</v>
      </c>
      <c r="O293" s="507">
        <f>O289*地域経済性分析・初期条件!$Q$69</f>
        <v>0</v>
      </c>
      <c r="P293" s="507">
        <f>P289*地域経済性分析・初期条件!$Q$69</f>
        <v>0</v>
      </c>
      <c r="Q293" s="507">
        <f>Q289*地域経済性分析・初期条件!$Q$69</f>
        <v>0</v>
      </c>
      <c r="R293" s="507">
        <f>R289*地域経済性分析・初期条件!$Q$69</f>
        <v>0</v>
      </c>
      <c r="S293" s="507">
        <f>S289*地域経済性分析・初期条件!$Q$69</f>
        <v>0</v>
      </c>
      <c r="T293" s="507">
        <f>T289*地域経済性分析・初期条件!$Q$69</f>
        <v>0</v>
      </c>
      <c r="U293" s="507">
        <f>U289*地域経済性分析・初期条件!$Q$69</f>
        <v>0</v>
      </c>
      <c r="V293" s="507">
        <f>V289*地域経済性分析・初期条件!$Q$69</f>
        <v>0</v>
      </c>
      <c r="W293" s="507">
        <f>W289*地域経済性分析・初期条件!$Q$69</f>
        <v>0</v>
      </c>
      <c r="X293" s="507">
        <f>X289*地域経済性分析・初期条件!$Q$69</f>
        <v>0</v>
      </c>
      <c r="Y293" s="507">
        <f>Y289*地域経済性分析・初期条件!$Q$69</f>
        <v>0</v>
      </c>
      <c r="Z293" s="507">
        <f>Z289*地域経済性分析・初期条件!$Q$69</f>
        <v>0</v>
      </c>
      <c r="AA293" s="507">
        <f>AA289*地域経済性分析・初期条件!$Q$69</f>
        <v>0</v>
      </c>
      <c r="AB293" s="507">
        <f>AB289*地域経済性分析・初期条件!$Q$69</f>
        <v>0</v>
      </c>
      <c r="AC293" s="507">
        <f>AC289*地域経済性分析・初期条件!$Q$69</f>
        <v>0</v>
      </c>
      <c r="AD293" s="507">
        <f>AD289*地域経済性分析・初期条件!$Q$69</f>
        <v>0</v>
      </c>
      <c r="AE293" s="507">
        <f>AE289*地域経済性分析・初期条件!$Q$69</f>
        <v>0</v>
      </c>
      <c r="AF293" s="507">
        <f>AF289*地域経済性分析・初期条件!$Q$69</f>
        <v>0</v>
      </c>
      <c r="AG293" s="507">
        <f>AG289*地域経済性分析・初期条件!$Q$69</f>
        <v>0</v>
      </c>
      <c r="AH293" s="507">
        <f>AH289*地域経済性分析・初期条件!$Q$69</f>
        <v>0</v>
      </c>
      <c r="AI293" s="548">
        <f t="shared" si="163"/>
        <v>0</v>
      </c>
      <c r="AJ293" s="548">
        <f t="shared" si="164"/>
        <v>0</v>
      </c>
      <c r="AK293" s="510">
        <f t="shared" si="165"/>
        <v>0</v>
      </c>
    </row>
    <row r="294" spans="1:37" ht="11.5" x14ac:dyDescent="0.25">
      <c r="A294" s="546" t="str">
        <f>A288&amp;B294</f>
        <v>その他のサービス業従業員の可処分所得（一次）</v>
      </c>
      <c r="B294" s="452" t="s">
        <v>339</v>
      </c>
      <c r="C294" s="464" t="s">
        <v>37</v>
      </c>
      <c r="D294" s="507">
        <f>D289*地域経済性分析・初期条件!$H$69</f>
        <v>0</v>
      </c>
      <c r="E294" s="507">
        <f>E289*地域経済性分析・初期条件!$H$69</f>
        <v>2485862.0113158319</v>
      </c>
      <c r="F294" s="507">
        <f>F289*地域経済性分析・初期条件!$H$69</f>
        <v>2485862.0113158319</v>
      </c>
      <c r="G294" s="507">
        <f>G289*地域経済性分析・初期条件!$H$69</f>
        <v>2485862.0113158319</v>
      </c>
      <c r="H294" s="507">
        <f>H289*地域経済性分析・初期条件!$H$69</f>
        <v>2485862.0113158319</v>
      </c>
      <c r="I294" s="507">
        <f>I289*地域経済性分析・初期条件!$H$69</f>
        <v>2485862.0113158319</v>
      </c>
      <c r="J294" s="507">
        <f>J289*地域経済性分析・初期条件!$H$69</f>
        <v>2485862.0113158319</v>
      </c>
      <c r="K294" s="507">
        <f>K289*地域経済性分析・初期条件!$H$69</f>
        <v>2485862.0113158319</v>
      </c>
      <c r="L294" s="507">
        <f>L289*地域経済性分析・初期条件!$H$69</f>
        <v>2485862.0113158319</v>
      </c>
      <c r="M294" s="507">
        <f>M289*地域経済性分析・初期条件!$H$69</f>
        <v>2485862.0113158319</v>
      </c>
      <c r="N294" s="507">
        <f>N289*地域経済性分析・初期条件!$H$69</f>
        <v>2485862.0113158319</v>
      </c>
      <c r="O294" s="507">
        <f>O289*地域経済性分析・初期条件!$H$69</f>
        <v>2485862.0113158319</v>
      </c>
      <c r="P294" s="507">
        <f>P289*地域経済性分析・初期条件!$H$69</f>
        <v>2485862.0113158319</v>
      </c>
      <c r="Q294" s="507">
        <f>Q289*地域経済性分析・初期条件!$H$69</f>
        <v>2485862.0113158319</v>
      </c>
      <c r="R294" s="507">
        <f>R289*地域経済性分析・初期条件!$H$69</f>
        <v>2485862.0113158319</v>
      </c>
      <c r="S294" s="507">
        <f>S289*地域経済性分析・初期条件!$H$69</f>
        <v>2485862.0113158319</v>
      </c>
      <c r="T294" s="507">
        <f>T289*地域経済性分析・初期条件!$H$69</f>
        <v>2485862.0113158319</v>
      </c>
      <c r="U294" s="507">
        <f>U289*地域経済性分析・初期条件!$H$69</f>
        <v>2485862.0113158319</v>
      </c>
      <c r="V294" s="507">
        <f>V289*地域経済性分析・初期条件!$H$69</f>
        <v>2485862.0113158319</v>
      </c>
      <c r="W294" s="507">
        <f>W289*地域経済性分析・初期条件!$H$69</f>
        <v>2485862.0113158319</v>
      </c>
      <c r="X294" s="507">
        <f>X289*地域経済性分析・初期条件!$H$69</f>
        <v>2485862.0113158319</v>
      </c>
      <c r="Y294" s="507">
        <f>Y289*地域経済性分析・初期条件!$H$69</f>
        <v>2485862.0113158319</v>
      </c>
      <c r="Z294" s="507">
        <f>Z289*地域経済性分析・初期条件!$H$69</f>
        <v>2485862.0113158319</v>
      </c>
      <c r="AA294" s="507">
        <f>AA289*地域経済性分析・初期条件!$H$69</f>
        <v>2485862.0113158319</v>
      </c>
      <c r="AB294" s="507">
        <f>AB289*地域経済性分析・初期条件!$H$69</f>
        <v>2485862.0113158319</v>
      </c>
      <c r="AC294" s="507">
        <f>AC289*地域経済性分析・初期条件!$H$69</f>
        <v>2485862.0113158319</v>
      </c>
      <c r="AD294" s="507">
        <f>AD289*地域経済性分析・初期条件!$H$69</f>
        <v>2485862.0113158319</v>
      </c>
      <c r="AE294" s="507">
        <f>AE289*地域経済性分析・初期条件!$H$69</f>
        <v>2485862.0113158319</v>
      </c>
      <c r="AF294" s="507">
        <f>AF289*地域経済性分析・初期条件!$H$69</f>
        <v>2485862.0113158319</v>
      </c>
      <c r="AG294" s="507">
        <f>AG289*地域経済性分析・初期条件!$H$69</f>
        <v>2485862.0113158319</v>
      </c>
      <c r="AH294" s="507">
        <f>AH289*地域経済性分析・初期条件!$H$69</f>
        <v>2485862.0113158319</v>
      </c>
      <c r="AI294" s="548">
        <f t="shared" si="163"/>
        <v>24858620.113158315</v>
      </c>
      <c r="AJ294" s="548">
        <f t="shared" si="164"/>
        <v>49717240.226316616</v>
      </c>
      <c r="AK294" s="510">
        <f t="shared" si="165"/>
        <v>74575860.339474946</v>
      </c>
    </row>
    <row r="295" spans="1:37" ht="11.5" x14ac:dyDescent="0.25">
      <c r="A295" s="546" t="str">
        <f>A288&amp;B295</f>
        <v>その他のサービス業企業の税引後利益（一次）</v>
      </c>
      <c r="B295" s="452" t="s">
        <v>340</v>
      </c>
      <c r="C295" s="464" t="s">
        <v>37</v>
      </c>
      <c r="D295" s="507">
        <f>D289*地域経済性分析・初期条件!$I$69</f>
        <v>0</v>
      </c>
      <c r="E295" s="507">
        <f>E289*地域経済性分析・初期条件!$I$69</f>
        <v>568592.14222026698</v>
      </c>
      <c r="F295" s="507">
        <f>F289*地域経済性分析・初期条件!$I$69</f>
        <v>568592.14222026698</v>
      </c>
      <c r="G295" s="507">
        <f>G289*地域経済性分析・初期条件!$I$69</f>
        <v>568592.14222026698</v>
      </c>
      <c r="H295" s="507">
        <f>H289*地域経済性分析・初期条件!$I$69</f>
        <v>568592.14222026698</v>
      </c>
      <c r="I295" s="507">
        <f>I289*地域経済性分析・初期条件!$I$69</f>
        <v>568592.14222026698</v>
      </c>
      <c r="J295" s="507">
        <f>J289*地域経済性分析・初期条件!$I$69</f>
        <v>568592.14222026698</v>
      </c>
      <c r="K295" s="507">
        <f>K289*地域経済性分析・初期条件!$I$69</f>
        <v>568592.14222026698</v>
      </c>
      <c r="L295" s="507">
        <f>L289*地域経済性分析・初期条件!$I$69</f>
        <v>568592.14222026698</v>
      </c>
      <c r="M295" s="507">
        <f>M289*地域経済性分析・初期条件!$I$69</f>
        <v>568592.14222026698</v>
      </c>
      <c r="N295" s="507">
        <f>N289*地域経済性分析・初期条件!$I$69</f>
        <v>568592.14222026698</v>
      </c>
      <c r="O295" s="507">
        <f>O289*地域経済性分析・初期条件!$I$69</f>
        <v>568592.14222026698</v>
      </c>
      <c r="P295" s="507">
        <f>P289*地域経済性分析・初期条件!$I$69</f>
        <v>568592.14222026698</v>
      </c>
      <c r="Q295" s="507">
        <f>Q289*地域経済性分析・初期条件!$I$69</f>
        <v>568592.14222026698</v>
      </c>
      <c r="R295" s="507">
        <f>R289*地域経済性分析・初期条件!$I$69</f>
        <v>568592.14222026698</v>
      </c>
      <c r="S295" s="507">
        <f>S289*地域経済性分析・初期条件!$I$69</f>
        <v>568592.14222026698</v>
      </c>
      <c r="T295" s="507">
        <f>T289*地域経済性分析・初期条件!$I$69</f>
        <v>568592.14222026698</v>
      </c>
      <c r="U295" s="507">
        <f>U289*地域経済性分析・初期条件!$I$69</f>
        <v>568592.14222026698</v>
      </c>
      <c r="V295" s="507">
        <f>V289*地域経済性分析・初期条件!$I$69</f>
        <v>568592.14222026698</v>
      </c>
      <c r="W295" s="507">
        <f>W289*地域経済性分析・初期条件!$I$69</f>
        <v>568592.14222026698</v>
      </c>
      <c r="X295" s="507">
        <f>X289*地域経済性分析・初期条件!$I$69</f>
        <v>568592.14222026698</v>
      </c>
      <c r="Y295" s="507">
        <f>Y289*地域経済性分析・初期条件!$I$69</f>
        <v>568592.14222026698</v>
      </c>
      <c r="Z295" s="507">
        <f>Z289*地域経済性分析・初期条件!$I$69</f>
        <v>568592.14222026698</v>
      </c>
      <c r="AA295" s="507">
        <f>AA289*地域経済性分析・初期条件!$I$69</f>
        <v>568592.14222026698</v>
      </c>
      <c r="AB295" s="507">
        <f>AB289*地域経済性分析・初期条件!$I$69</f>
        <v>568592.14222026698</v>
      </c>
      <c r="AC295" s="507">
        <f>AC289*地域経済性分析・初期条件!$I$69</f>
        <v>568592.14222026698</v>
      </c>
      <c r="AD295" s="507">
        <f>AD289*地域経済性分析・初期条件!$I$69</f>
        <v>568592.14222026698</v>
      </c>
      <c r="AE295" s="507">
        <f>AE289*地域経済性分析・初期条件!$I$69</f>
        <v>568592.14222026698</v>
      </c>
      <c r="AF295" s="507">
        <f>AF289*地域経済性分析・初期条件!$I$69</f>
        <v>568592.14222026698</v>
      </c>
      <c r="AG295" s="507">
        <f>AG289*地域経済性分析・初期条件!$I$69</f>
        <v>568592.14222026698</v>
      </c>
      <c r="AH295" s="507">
        <f>AH289*地域経済性分析・初期条件!$I$69</f>
        <v>568592.14222026698</v>
      </c>
      <c r="AI295" s="548">
        <f t="shared" si="163"/>
        <v>5685921.42220267</v>
      </c>
      <c r="AJ295" s="548">
        <f t="shared" si="164"/>
        <v>11371842.844405336</v>
      </c>
      <c r="AK295" s="510">
        <f t="shared" si="165"/>
        <v>17057764.266608</v>
      </c>
    </row>
    <row r="296" spans="1:37" ht="11.5" x14ac:dyDescent="0.25">
      <c r="A296" s="546" t="str">
        <f>A288&amp;B296</f>
        <v>その他のサービス業都道府県税収（一次）</v>
      </c>
      <c r="B296" s="452" t="s">
        <v>341</v>
      </c>
      <c r="C296" s="464" t="s">
        <v>37</v>
      </c>
      <c r="D296" s="507">
        <f>D289*地域経済性分析・初期条件!$J$69</f>
        <v>0</v>
      </c>
      <c r="E296" s="507">
        <f>E289*地域経済性分析・初期条件!$J$69</f>
        <v>293526.8829132283</v>
      </c>
      <c r="F296" s="507">
        <f>F289*地域経済性分析・初期条件!$J$69</f>
        <v>293526.8829132283</v>
      </c>
      <c r="G296" s="507">
        <f>G289*地域経済性分析・初期条件!$J$69</f>
        <v>293526.8829132283</v>
      </c>
      <c r="H296" s="507">
        <f>H289*地域経済性分析・初期条件!$J$69</f>
        <v>293526.8829132283</v>
      </c>
      <c r="I296" s="507">
        <f>I289*地域経済性分析・初期条件!$J$69</f>
        <v>293526.8829132283</v>
      </c>
      <c r="J296" s="507">
        <f>J289*地域経済性分析・初期条件!$J$69</f>
        <v>293526.8829132283</v>
      </c>
      <c r="K296" s="507">
        <f>K289*地域経済性分析・初期条件!$J$69</f>
        <v>293526.8829132283</v>
      </c>
      <c r="L296" s="507">
        <f>L289*地域経済性分析・初期条件!$J$69</f>
        <v>293526.8829132283</v>
      </c>
      <c r="M296" s="507">
        <f>M289*地域経済性分析・初期条件!$J$69</f>
        <v>293526.8829132283</v>
      </c>
      <c r="N296" s="507">
        <f>N289*地域経済性分析・初期条件!$J$69</f>
        <v>293526.8829132283</v>
      </c>
      <c r="O296" s="507">
        <f>O289*地域経済性分析・初期条件!$J$69</f>
        <v>293526.8829132283</v>
      </c>
      <c r="P296" s="507">
        <f>P289*地域経済性分析・初期条件!$J$69</f>
        <v>293526.8829132283</v>
      </c>
      <c r="Q296" s="507">
        <f>Q289*地域経済性分析・初期条件!$J$69</f>
        <v>293526.8829132283</v>
      </c>
      <c r="R296" s="507">
        <f>R289*地域経済性分析・初期条件!$J$69</f>
        <v>293526.8829132283</v>
      </c>
      <c r="S296" s="507">
        <f>S289*地域経済性分析・初期条件!$J$69</f>
        <v>293526.8829132283</v>
      </c>
      <c r="T296" s="507">
        <f>T289*地域経済性分析・初期条件!$J$69</f>
        <v>293526.8829132283</v>
      </c>
      <c r="U296" s="507">
        <f>U289*地域経済性分析・初期条件!$J$69</f>
        <v>293526.8829132283</v>
      </c>
      <c r="V296" s="507">
        <f>V289*地域経済性分析・初期条件!$J$69</f>
        <v>293526.8829132283</v>
      </c>
      <c r="W296" s="507">
        <f>W289*地域経済性分析・初期条件!$J$69</f>
        <v>293526.8829132283</v>
      </c>
      <c r="X296" s="507">
        <f>X289*地域経済性分析・初期条件!$J$69</f>
        <v>293526.8829132283</v>
      </c>
      <c r="Y296" s="507">
        <f>Y289*地域経済性分析・初期条件!$J$69</f>
        <v>293526.8829132283</v>
      </c>
      <c r="Z296" s="507">
        <f>Z289*地域経済性分析・初期条件!$J$69</f>
        <v>293526.8829132283</v>
      </c>
      <c r="AA296" s="507">
        <f>AA289*地域経済性分析・初期条件!$J$69</f>
        <v>293526.8829132283</v>
      </c>
      <c r="AB296" s="507">
        <f>AB289*地域経済性分析・初期条件!$J$69</f>
        <v>293526.8829132283</v>
      </c>
      <c r="AC296" s="507">
        <f>AC289*地域経済性分析・初期条件!$J$69</f>
        <v>293526.8829132283</v>
      </c>
      <c r="AD296" s="507">
        <f>AD289*地域経済性分析・初期条件!$J$69</f>
        <v>293526.8829132283</v>
      </c>
      <c r="AE296" s="507">
        <f>AE289*地域経済性分析・初期条件!$J$69</f>
        <v>293526.8829132283</v>
      </c>
      <c r="AF296" s="507">
        <f>AF289*地域経済性分析・初期条件!$J$69</f>
        <v>293526.8829132283</v>
      </c>
      <c r="AG296" s="507">
        <f>AG289*地域経済性分析・初期条件!$J$69</f>
        <v>293526.8829132283</v>
      </c>
      <c r="AH296" s="507">
        <f>AH289*地域経済性分析・初期条件!$J$69</f>
        <v>293526.8829132283</v>
      </c>
      <c r="AI296" s="548">
        <f t="shared" si="163"/>
        <v>2935268.8291322826</v>
      </c>
      <c r="AJ296" s="548">
        <f t="shared" si="164"/>
        <v>5870537.6582645644</v>
      </c>
      <c r="AK296" s="510">
        <f t="shared" si="165"/>
        <v>8805806.4873968456</v>
      </c>
    </row>
    <row r="297" spans="1:37" ht="11.5" x14ac:dyDescent="0.25">
      <c r="A297" s="546" t="str">
        <f>A288&amp;B297</f>
        <v>その他のサービス業市町村税収（一次）</v>
      </c>
      <c r="B297" s="452" t="s">
        <v>342</v>
      </c>
      <c r="C297" s="465" t="s">
        <v>37</v>
      </c>
      <c r="D297" s="507">
        <f>D289*地域経済性分析・初期条件!$K$69</f>
        <v>0</v>
      </c>
      <c r="E297" s="507">
        <f>E289*地域経済性分析・初期条件!$K$69</f>
        <v>155218.76734777688</v>
      </c>
      <c r="F297" s="507">
        <f>F289*地域経済性分析・初期条件!$K$69</f>
        <v>155218.76734777688</v>
      </c>
      <c r="G297" s="507">
        <f>G289*地域経済性分析・初期条件!$K$69</f>
        <v>155218.76734777688</v>
      </c>
      <c r="H297" s="507">
        <f>H289*地域経済性分析・初期条件!$K$69</f>
        <v>155218.76734777688</v>
      </c>
      <c r="I297" s="507">
        <f>I289*地域経済性分析・初期条件!$K$69</f>
        <v>155218.76734777688</v>
      </c>
      <c r="J297" s="507">
        <f>J289*地域経済性分析・初期条件!$K$69</f>
        <v>155218.76734777688</v>
      </c>
      <c r="K297" s="507">
        <f>K289*地域経済性分析・初期条件!$K$69</f>
        <v>155218.76734777688</v>
      </c>
      <c r="L297" s="507">
        <f>L289*地域経済性分析・初期条件!$K$69</f>
        <v>155218.76734777688</v>
      </c>
      <c r="M297" s="507">
        <f>M289*地域経済性分析・初期条件!$K$69</f>
        <v>155218.76734777688</v>
      </c>
      <c r="N297" s="507">
        <f>N289*地域経済性分析・初期条件!$K$69</f>
        <v>155218.76734777688</v>
      </c>
      <c r="O297" s="507">
        <f>O289*地域経済性分析・初期条件!$K$69</f>
        <v>155218.76734777688</v>
      </c>
      <c r="P297" s="507">
        <f>P289*地域経済性分析・初期条件!$K$69</f>
        <v>155218.76734777688</v>
      </c>
      <c r="Q297" s="507">
        <f>Q289*地域経済性分析・初期条件!$K$69</f>
        <v>155218.76734777688</v>
      </c>
      <c r="R297" s="507">
        <f>R289*地域経済性分析・初期条件!$K$69</f>
        <v>155218.76734777688</v>
      </c>
      <c r="S297" s="507">
        <f>S289*地域経済性分析・初期条件!$K$69</f>
        <v>155218.76734777688</v>
      </c>
      <c r="T297" s="507">
        <f>T289*地域経済性分析・初期条件!$K$69</f>
        <v>155218.76734777688</v>
      </c>
      <c r="U297" s="507">
        <f>U289*地域経済性分析・初期条件!$K$69</f>
        <v>155218.76734777688</v>
      </c>
      <c r="V297" s="507">
        <f>V289*地域経済性分析・初期条件!$K$69</f>
        <v>155218.76734777688</v>
      </c>
      <c r="W297" s="507">
        <f>W289*地域経済性分析・初期条件!$K$69</f>
        <v>155218.76734777688</v>
      </c>
      <c r="X297" s="507">
        <f>X289*地域経済性分析・初期条件!$K$69</f>
        <v>155218.76734777688</v>
      </c>
      <c r="Y297" s="507">
        <f>Y289*地域経済性分析・初期条件!$K$69</f>
        <v>155218.76734777688</v>
      </c>
      <c r="Z297" s="507">
        <f>Z289*地域経済性分析・初期条件!$K$69</f>
        <v>155218.76734777688</v>
      </c>
      <c r="AA297" s="507">
        <f>AA289*地域経済性分析・初期条件!$K$69</f>
        <v>155218.76734777688</v>
      </c>
      <c r="AB297" s="507">
        <f>AB289*地域経済性分析・初期条件!$K$69</f>
        <v>155218.76734777688</v>
      </c>
      <c r="AC297" s="507">
        <f>AC289*地域経済性分析・初期条件!$K$69</f>
        <v>155218.76734777688</v>
      </c>
      <c r="AD297" s="507">
        <f>AD289*地域経済性分析・初期条件!$K$69</f>
        <v>155218.76734777688</v>
      </c>
      <c r="AE297" s="507">
        <f>AE289*地域経済性分析・初期条件!$K$69</f>
        <v>155218.76734777688</v>
      </c>
      <c r="AF297" s="507">
        <f>AF289*地域経済性分析・初期条件!$K$69</f>
        <v>155218.76734777688</v>
      </c>
      <c r="AG297" s="507">
        <f>AG289*地域経済性分析・初期条件!$K$69</f>
        <v>155218.76734777688</v>
      </c>
      <c r="AH297" s="507">
        <f>AH289*地域経済性分析・初期条件!$K$69</f>
        <v>155218.76734777688</v>
      </c>
      <c r="AI297" s="548">
        <f t="shared" si="163"/>
        <v>1552187.6734777687</v>
      </c>
      <c r="AJ297" s="548">
        <f t="shared" si="164"/>
        <v>3104375.3469555369</v>
      </c>
      <c r="AK297" s="510">
        <f t="shared" si="165"/>
        <v>4656563.0204333058</v>
      </c>
    </row>
    <row r="298" spans="1:37" ht="11.5" x14ac:dyDescent="0.25">
      <c r="A298" s="546" t="str">
        <f>A288&amp;B298</f>
        <v>その他のサービス業従業員の可処分所得（二次以降）</v>
      </c>
      <c r="B298" s="452" t="s">
        <v>344</v>
      </c>
      <c r="C298" s="465" t="s">
        <v>37</v>
      </c>
      <c r="D298" s="507">
        <f>D289*地域経済性分析・初期条件!$L$69</f>
        <v>0</v>
      </c>
      <c r="E298" s="507">
        <f>E289*地域経済性分析・初期条件!$L$69</f>
        <v>175684.51977173789</v>
      </c>
      <c r="F298" s="507">
        <f>F289*地域経済性分析・初期条件!$L$69</f>
        <v>175684.51977173789</v>
      </c>
      <c r="G298" s="507">
        <f>G289*地域経済性分析・初期条件!$L$69</f>
        <v>175684.51977173789</v>
      </c>
      <c r="H298" s="507">
        <f>H289*地域経済性分析・初期条件!$L$69</f>
        <v>175684.51977173789</v>
      </c>
      <c r="I298" s="507">
        <f>I289*地域経済性分析・初期条件!$L$69</f>
        <v>175684.51977173789</v>
      </c>
      <c r="J298" s="507">
        <f>J289*地域経済性分析・初期条件!$L$69</f>
        <v>175684.51977173789</v>
      </c>
      <c r="K298" s="507">
        <f>K289*地域経済性分析・初期条件!$L$69</f>
        <v>175684.51977173789</v>
      </c>
      <c r="L298" s="507">
        <f>L289*地域経済性分析・初期条件!$L$69</f>
        <v>175684.51977173789</v>
      </c>
      <c r="M298" s="507">
        <f>M289*地域経済性分析・初期条件!$L$69</f>
        <v>175684.51977173789</v>
      </c>
      <c r="N298" s="507">
        <f>N289*地域経済性分析・初期条件!$L$69</f>
        <v>175684.51977173789</v>
      </c>
      <c r="O298" s="507">
        <f>O289*地域経済性分析・初期条件!$L$69</f>
        <v>175684.51977173789</v>
      </c>
      <c r="P298" s="507">
        <f>P289*地域経済性分析・初期条件!$L$69</f>
        <v>175684.51977173789</v>
      </c>
      <c r="Q298" s="507">
        <f>Q289*地域経済性分析・初期条件!$L$69</f>
        <v>175684.51977173789</v>
      </c>
      <c r="R298" s="507">
        <f>R289*地域経済性分析・初期条件!$L$69</f>
        <v>175684.51977173789</v>
      </c>
      <c r="S298" s="507">
        <f>S289*地域経済性分析・初期条件!$L$69</f>
        <v>175684.51977173789</v>
      </c>
      <c r="T298" s="507">
        <f>T289*地域経済性分析・初期条件!$L$69</f>
        <v>175684.51977173789</v>
      </c>
      <c r="U298" s="507">
        <f>U289*地域経済性分析・初期条件!$L$69</f>
        <v>175684.51977173789</v>
      </c>
      <c r="V298" s="507">
        <f>V289*地域経済性分析・初期条件!$L$69</f>
        <v>175684.51977173789</v>
      </c>
      <c r="W298" s="507">
        <f>W289*地域経済性分析・初期条件!$L$69</f>
        <v>175684.51977173789</v>
      </c>
      <c r="X298" s="507">
        <f>X289*地域経済性分析・初期条件!$L$69</f>
        <v>175684.51977173789</v>
      </c>
      <c r="Y298" s="507">
        <f>Y289*地域経済性分析・初期条件!$L$69</f>
        <v>175684.51977173789</v>
      </c>
      <c r="Z298" s="507">
        <f>Z289*地域経済性分析・初期条件!$L$69</f>
        <v>175684.51977173789</v>
      </c>
      <c r="AA298" s="507">
        <f>AA289*地域経済性分析・初期条件!$L$69</f>
        <v>175684.51977173789</v>
      </c>
      <c r="AB298" s="507">
        <f>AB289*地域経済性分析・初期条件!$L$69</f>
        <v>175684.51977173789</v>
      </c>
      <c r="AC298" s="507">
        <f>AC289*地域経済性分析・初期条件!$L$69</f>
        <v>175684.51977173789</v>
      </c>
      <c r="AD298" s="507">
        <f>AD289*地域経済性分析・初期条件!$L$69</f>
        <v>175684.51977173789</v>
      </c>
      <c r="AE298" s="507">
        <f>AE289*地域経済性分析・初期条件!$L$69</f>
        <v>175684.51977173789</v>
      </c>
      <c r="AF298" s="507">
        <f>AF289*地域経済性分析・初期条件!$L$69</f>
        <v>175684.51977173789</v>
      </c>
      <c r="AG298" s="507">
        <f>AG289*地域経済性分析・初期条件!$L$69</f>
        <v>175684.51977173789</v>
      </c>
      <c r="AH298" s="507">
        <f>AH289*地域経済性分析・初期条件!$L$69</f>
        <v>175684.51977173789</v>
      </c>
      <c r="AI298" s="548">
        <f>SUM(D298:N298)</f>
        <v>1756845.1977173793</v>
      </c>
      <c r="AJ298" s="548">
        <f>SUM(D298:X298)</f>
        <v>3513690.3954347591</v>
      </c>
      <c r="AK298" s="510">
        <f>SUM(D298:AH298)</f>
        <v>5270535.5931521384</v>
      </c>
    </row>
    <row r="299" spans="1:37" ht="11.5" x14ac:dyDescent="0.25">
      <c r="A299" s="546" t="str">
        <f>A288&amp;B299</f>
        <v>その他のサービス業企業の税引後利益（二次以降）</v>
      </c>
      <c r="B299" s="452" t="s">
        <v>345</v>
      </c>
      <c r="C299" s="465" t="s">
        <v>37</v>
      </c>
      <c r="D299" s="507">
        <f>D289*地域経済性分析・初期条件!$M$69</f>
        <v>0</v>
      </c>
      <c r="E299" s="507">
        <f>E289*地域経済性分析・初期条件!$M$69</f>
        <v>210285.90094493295</v>
      </c>
      <c r="F299" s="507">
        <f>F289*地域経済性分析・初期条件!$M$69</f>
        <v>210285.90094493295</v>
      </c>
      <c r="G299" s="507">
        <f>G289*地域経済性分析・初期条件!$M$69</f>
        <v>210285.90094493295</v>
      </c>
      <c r="H299" s="507">
        <f>H289*地域経済性分析・初期条件!$M$69</f>
        <v>210285.90094493295</v>
      </c>
      <c r="I299" s="507">
        <f>I289*地域経済性分析・初期条件!$M$69</f>
        <v>210285.90094493295</v>
      </c>
      <c r="J299" s="507">
        <f>J289*地域経済性分析・初期条件!$M$69</f>
        <v>210285.90094493295</v>
      </c>
      <c r="K299" s="507">
        <f>K289*地域経済性分析・初期条件!$M$69</f>
        <v>210285.90094493295</v>
      </c>
      <c r="L299" s="507">
        <f>L289*地域経済性分析・初期条件!$M$69</f>
        <v>210285.90094493295</v>
      </c>
      <c r="M299" s="507">
        <f>M289*地域経済性分析・初期条件!$M$69</f>
        <v>210285.90094493295</v>
      </c>
      <c r="N299" s="507">
        <f>N289*地域経済性分析・初期条件!$M$69</f>
        <v>210285.90094493295</v>
      </c>
      <c r="O299" s="507">
        <f>O289*地域経済性分析・初期条件!$M$69</f>
        <v>210285.90094493295</v>
      </c>
      <c r="P299" s="507">
        <f>P289*地域経済性分析・初期条件!$M$69</f>
        <v>210285.90094493295</v>
      </c>
      <c r="Q299" s="507">
        <f>Q289*地域経済性分析・初期条件!$M$69</f>
        <v>210285.90094493295</v>
      </c>
      <c r="R299" s="507">
        <f>R289*地域経済性分析・初期条件!$M$69</f>
        <v>210285.90094493295</v>
      </c>
      <c r="S299" s="507">
        <f>S289*地域経済性分析・初期条件!$M$69</f>
        <v>210285.90094493295</v>
      </c>
      <c r="T299" s="507">
        <f>T289*地域経済性分析・初期条件!$M$69</f>
        <v>210285.90094493295</v>
      </c>
      <c r="U299" s="507">
        <f>U289*地域経済性分析・初期条件!$M$69</f>
        <v>210285.90094493295</v>
      </c>
      <c r="V299" s="507">
        <f>V289*地域経済性分析・初期条件!$M$69</f>
        <v>210285.90094493295</v>
      </c>
      <c r="W299" s="507">
        <f>W289*地域経済性分析・初期条件!$M$69</f>
        <v>210285.90094493295</v>
      </c>
      <c r="X299" s="507">
        <f>X289*地域経済性分析・初期条件!$M$69</f>
        <v>210285.90094493295</v>
      </c>
      <c r="Y299" s="507">
        <f>Y289*地域経済性分析・初期条件!$M$69</f>
        <v>210285.90094493295</v>
      </c>
      <c r="Z299" s="507">
        <f>Z289*地域経済性分析・初期条件!$M$69</f>
        <v>210285.90094493295</v>
      </c>
      <c r="AA299" s="507">
        <f>AA289*地域経済性分析・初期条件!$M$69</f>
        <v>210285.90094493295</v>
      </c>
      <c r="AB299" s="507">
        <f>AB289*地域経済性分析・初期条件!$M$69</f>
        <v>210285.90094493295</v>
      </c>
      <c r="AC299" s="507">
        <f>AC289*地域経済性分析・初期条件!$M$69</f>
        <v>210285.90094493295</v>
      </c>
      <c r="AD299" s="507">
        <f>AD289*地域経済性分析・初期条件!$M$69</f>
        <v>210285.90094493295</v>
      </c>
      <c r="AE299" s="507">
        <f>AE289*地域経済性分析・初期条件!$M$69</f>
        <v>210285.90094493295</v>
      </c>
      <c r="AF299" s="507">
        <f>AF289*地域経済性分析・初期条件!$M$69</f>
        <v>210285.90094493295</v>
      </c>
      <c r="AG299" s="507">
        <f>AG289*地域経済性分析・初期条件!$M$69</f>
        <v>210285.90094493295</v>
      </c>
      <c r="AH299" s="507">
        <f>AH289*地域経済性分析・初期条件!$M$69</f>
        <v>210285.90094493295</v>
      </c>
      <c r="AI299" s="548">
        <f>SUM(D299:N299)</f>
        <v>2102859.0094493288</v>
      </c>
      <c r="AJ299" s="548">
        <f>SUM(D299:X299)</f>
        <v>4205718.0188986575</v>
      </c>
      <c r="AK299" s="510">
        <f>SUM(D299:AH299)</f>
        <v>6308577.0283479905</v>
      </c>
    </row>
    <row r="300" spans="1:37" ht="11.5" x14ac:dyDescent="0.25">
      <c r="A300" s="546" t="str">
        <f>A288&amp;B300</f>
        <v>その他のサービス業都道府県税収（二次以降）</v>
      </c>
      <c r="B300" s="452" t="s">
        <v>346</v>
      </c>
      <c r="C300" s="465" t="s">
        <v>37</v>
      </c>
      <c r="D300" s="507">
        <f>D289*地域経済性分析・初期条件!$N$69</f>
        <v>0</v>
      </c>
      <c r="E300" s="507">
        <f>E289*地域経済性分析・初期条件!$N$69</f>
        <v>43200.827252812742</v>
      </c>
      <c r="F300" s="507">
        <f>F289*地域経済性分析・初期条件!$N$69</f>
        <v>43200.827252812742</v>
      </c>
      <c r="G300" s="507">
        <f>G289*地域経済性分析・初期条件!$N$69</f>
        <v>43200.827252812742</v>
      </c>
      <c r="H300" s="507">
        <f>H289*地域経済性分析・初期条件!$N$69</f>
        <v>43200.827252812742</v>
      </c>
      <c r="I300" s="507">
        <f>I289*地域経済性分析・初期条件!$N$69</f>
        <v>43200.827252812742</v>
      </c>
      <c r="J300" s="507">
        <f>J289*地域経済性分析・初期条件!$N$69</f>
        <v>43200.827252812742</v>
      </c>
      <c r="K300" s="507">
        <f>K289*地域経済性分析・初期条件!$N$69</f>
        <v>43200.827252812742</v>
      </c>
      <c r="L300" s="507">
        <f>L289*地域経済性分析・初期条件!$N$69</f>
        <v>43200.827252812742</v>
      </c>
      <c r="M300" s="507">
        <f>M289*地域経済性分析・初期条件!$N$69</f>
        <v>43200.827252812742</v>
      </c>
      <c r="N300" s="507">
        <f>N289*地域経済性分析・初期条件!$N$69</f>
        <v>43200.827252812742</v>
      </c>
      <c r="O300" s="507">
        <f>O289*地域経済性分析・初期条件!$N$69</f>
        <v>43200.827252812742</v>
      </c>
      <c r="P300" s="507">
        <f>P289*地域経済性分析・初期条件!$N$69</f>
        <v>43200.827252812742</v>
      </c>
      <c r="Q300" s="507">
        <f>Q289*地域経済性分析・初期条件!$N$69</f>
        <v>43200.827252812742</v>
      </c>
      <c r="R300" s="507">
        <f>R289*地域経済性分析・初期条件!$N$69</f>
        <v>43200.827252812742</v>
      </c>
      <c r="S300" s="507">
        <f>S289*地域経済性分析・初期条件!$N$69</f>
        <v>43200.827252812742</v>
      </c>
      <c r="T300" s="507">
        <f>T289*地域経済性分析・初期条件!$N$69</f>
        <v>43200.827252812742</v>
      </c>
      <c r="U300" s="507">
        <f>U289*地域経済性分析・初期条件!$N$69</f>
        <v>43200.827252812742</v>
      </c>
      <c r="V300" s="507">
        <f>V289*地域経済性分析・初期条件!$N$69</f>
        <v>43200.827252812742</v>
      </c>
      <c r="W300" s="507">
        <f>W289*地域経済性分析・初期条件!$N$69</f>
        <v>43200.827252812742</v>
      </c>
      <c r="X300" s="507">
        <f>X289*地域経済性分析・初期条件!$N$69</f>
        <v>43200.827252812742</v>
      </c>
      <c r="Y300" s="507">
        <f>Y289*地域経済性分析・初期条件!$N$69</f>
        <v>43200.827252812742</v>
      </c>
      <c r="Z300" s="507">
        <f>Z289*地域経済性分析・初期条件!$N$69</f>
        <v>43200.827252812742</v>
      </c>
      <c r="AA300" s="507">
        <f>AA289*地域経済性分析・初期条件!$N$69</f>
        <v>43200.827252812742</v>
      </c>
      <c r="AB300" s="507">
        <f>AB289*地域経済性分析・初期条件!$N$69</f>
        <v>43200.827252812742</v>
      </c>
      <c r="AC300" s="507">
        <f>AC289*地域経済性分析・初期条件!$N$69</f>
        <v>43200.827252812742</v>
      </c>
      <c r="AD300" s="507">
        <f>AD289*地域経済性分析・初期条件!$N$69</f>
        <v>43200.827252812742</v>
      </c>
      <c r="AE300" s="507">
        <f>AE289*地域経済性分析・初期条件!$N$69</f>
        <v>43200.827252812742</v>
      </c>
      <c r="AF300" s="507">
        <f>AF289*地域経済性分析・初期条件!$N$69</f>
        <v>43200.827252812742</v>
      </c>
      <c r="AG300" s="507">
        <f>AG289*地域経済性分析・初期条件!$N$69</f>
        <v>43200.827252812742</v>
      </c>
      <c r="AH300" s="507">
        <f>AH289*地域経済性分析・初期条件!$N$69</f>
        <v>43200.827252812742</v>
      </c>
      <c r="AI300" s="548">
        <f>SUM(D300:N300)</f>
        <v>432008.27252812742</v>
      </c>
      <c r="AJ300" s="548">
        <f>SUM(D300:X300)</f>
        <v>864016.54505625437</v>
      </c>
      <c r="AK300" s="510">
        <f>SUM(D300:AH300)</f>
        <v>1296024.8175843812</v>
      </c>
    </row>
    <row r="301" spans="1:37" ht="11.5" x14ac:dyDescent="0.25">
      <c r="A301" s="546" t="str">
        <f>A288&amp;B301</f>
        <v>その他のサービス業市町村税収（二次以降）</v>
      </c>
      <c r="B301" s="452" t="s">
        <v>347</v>
      </c>
      <c r="C301" s="465" t="s">
        <v>37</v>
      </c>
      <c r="D301" s="507">
        <f>D289*地域経済性分析・初期条件!$O$69</f>
        <v>0</v>
      </c>
      <c r="E301" s="507">
        <f>E289*地域経済性分析・初期条件!$O$69</f>
        <v>13579.429638107504</v>
      </c>
      <c r="F301" s="507">
        <f>F289*地域経済性分析・初期条件!$O$69</f>
        <v>13579.429638107504</v>
      </c>
      <c r="G301" s="507">
        <f>G289*地域経済性分析・初期条件!$O$69</f>
        <v>13579.429638107504</v>
      </c>
      <c r="H301" s="507">
        <f>H289*地域経済性分析・初期条件!$O$69</f>
        <v>13579.429638107504</v>
      </c>
      <c r="I301" s="507">
        <f>I289*地域経済性分析・初期条件!$O$69</f>
        <v>13579.429638107504</v>
      </c>
      <c r="J301" s="507">
        <f>J289*地域経済性分析・初期条件!$O$69</f>
        <v>13579.429638107504</v>
      </c>
      <c r="K301" s="507">
        <f>K289*地域経済性分析・初期条件!$O$69</f>
        <v>13579.429638107504</v>
      </c>
      <c r="L301" s="507">
        <f>L289*地域経済性分析・初期条件!$O$69</f>
        <v>13579.429638107504</v>
      </c>
      <c r="M301" s="507">
        <f>M289*地域経済性分析・初期条件!$O$69</f>
        <v>13579.429638107504</v>
      </c>
      <c r="N301" s="507">
        <f>N289*地域経済性分析・初期条件!$O$69</f>
        <v>13579.429638107504</v>
      </c>
      <c r="O301" s="507">
        <f>O289*地域経済性分析・初期条件!$O$69</f>
        <v>13579.429638107504</v>
      </c>
      <c r="P301" s="507">
        <f>P289*地域経済性分析・初期条件!$O$69</f>
        <v>13579.429638107504</v>
      </c>
      <c r="Q301" s="507">
        <f>Q289*地域経済性分析・初期条件!$O$69</f>
        <v>13579.429638107504</v>
      </c>
      <c r="R301" s="507">
        <f>R289*地域経済性分析・初期条件!$O$69</f>
        <v>13579.429638107504</v>
      </c>
      <c r="S301" s="507">
        <f>S289*地域経済性分析・初期条件!$O$69</f>
        <v>13579.429638107504</v>
      </c>
      <c r="T301" s="507">
        <f>T289*地域経済性分析・初期条件!$O$69</f>
        <v>13579.429638107504</v>
      </c>
      <c r="U301" s="507">
        <f>U289*地域経済性分析・初期条件!$O$69</f>
        <v>13579.429638107504</v>
      </c>
      <c r="V301" s="507">
        <f>V289*地域経済性分析・初期条件!$O$69</f>
        <v>13579.429638107504</v>
      </c>
      <c r="W301" s="507">
        <f>W289*地域経済性分析・初期条件!$O$69</f>
        <v>13579.429638107504</v>
      </c>
      <c r="X301" s="507">
        <f>X289*地域経済性分析・初期条件!$O$69</f>
        <v>13579.429638107504</v>
      </c>
      <c r="Y301" s="507">
        <f>Y289*地域経済性分析・初期条件!$O$69</f>
        <v>13579.429638107504</v>
      </c>
      <c r="Z301" s="507">
        <f>Z289*地域経済性分析・初期条件!$O$69</f>
        <v>13579.429638107504</v>
      </c>
      <c r="AA301" s="507">
        <f>AA289*地域経済性分析・初期条件!$O$69</f>
        <v>13579.429638107504</v>
      </c>
      <c r="AB301" s="507">
        <f>AB289*地域経済性分析・初期条件!$O$69</f>
        <v>13579.429638107504</v>
      </c>
      <c r="AC301" s="507">
        <f>AC289*地域経済性分析・初期条件!$O$69</f>
        <v>13579.429638107504</v>
      </c>
      <c r="AD301" s="507">
        <f>AD289*地域経済性分析・初期条件!$O$69</f>
        <v>13579.429638107504</v>
      </c>
      <c r="AE301" s="507">
        <f>AE289*地域経済性分析・初期条件!$O$69</f>
        <v>13579.429638107504</v>
      </c>
      <c r="AF301" s="507">
        <f>AF289*地域経済性分析・初期条件!$O$69</f>
        <v>13579.429638107504</v>
      </c>
      <c r="AG301" s="507">
        <f>AG289*地域経済性分析・初期条件!$O$69</f>
        <v>13579.429638107504</v>
      </c>
      <c r="AH301" s="507">
        <f>AH289*地域経済性分析・初期条件!$O$69</f>
        <v>13579.429638107504</v>
      </c>
      <c r="AI301" s="548">
        <f>SUM(D301:N301)</f>
        <v>135794.29638107508</v>
      </c>
      <c r="AJ301" s="548">
        <f>SUM(D301:X301)</f>
        <v>271588.59276215016</v>
      </c>
      <c r="AK301" s="510">
        <f>SUM(D301:AH301)</f>
        <v>407382.88914322498</v>
      </c>
    </row>
    <row r="302" spans="1:37" ht="11.5" x14ac:dyDescent="0.25">
      <c r="A302" s="502">
        <f>地域経済性分析・初期条件!$G$70</f>
        <v>0</v>
      </c>
      <c r="C302" s="465"/>
      <c r="D302" s="507"/>
      <c r="E302" s="507"/>
      <c r="F302" s="478"/>
      <c r="G302" s="478"/>
      <c r="H302" s="478"/>
      <c r="I302" s="478"/>
      <c r="J302" s="478"/>
      <c r="K302" s="478"/>
      <c r="L302" s="478"/>
      <c r="M302" s="478"/>
      <c r="N302" s="478"/>
      <c r="O302" s="478"/>
      <c r="P302" s="478"/>
      <c r="Q302" s="478"/>
      <c r="R302" s="478"/>
      <c r="S302" s="478"/>
      <c r="T302" s="478"/>
      <c r="U302" s="478"/>
      <c r="V302" s="478"/>
      <c r="W302" s="478"/>
      <c r="X302" s="478"/>
      <c r="Y302" s="478"/>
      <c r="Z302" s="478"/>
      <c r="AA302" s="478"/>
      <c r="AB302" s="478"/>
      <c r="AC302" s="478"/>
      <c r="AD302" s="478"/>
      <c r="AE302" s="478"/>
      <c r="AF302" s="478"/>
      <c r="AG302" s="478"/>
      <c r="AH302" s="478"/>
      <c r="AI302" s="548"/>
      <c r="AJ302" s="548"/>
      <c r="AK302" s="510"/>
    </row>
    <row r="303" spans="1:37" ht="12" customHeight="1" x14ac:dyDescent="0.25">
      <c r="A303" s="546" t="str">
        <f>A302&amp;B303</f>
        <v>0売上（税別）</v>
      </c>
      <c r="B303" s="452" t="s">
        <v>1047</v>
      </c>
      <c r="C303" s="464" t="s">
        <v>37</v>
      </c>
      <c r="D303" s="507">
        <f>D287*地域経済性分析・初期条件!$F$70</f>
        <v>0</v>
      </c>
      <c r="E303" s="507">
        <f>E287*地域経済性分析・初期条件!$F$70</f>
        <v>0</v>
      </c>
      <c r="F303" s="507">
        <f>F287*地域経済性分析・初期条件!$F$70</f>
        <v>0</v>
      </c>
      <c r="G303" s="507">
        <f>G287*地域経済性分析・初期条件!$F$70</f>
        <v>0</v>
      </c>
      <c r="H303" s="507">
        <f>H287*地域経済性分析・初期条件!$F$70</f>
        <v>0</v>
      </c>
      <c r="I303" s="507">
        <f>I287*地域経済性分析・初期条件!$F$70</f>
        <v>0</v>
      </c>
      <c r="J303" s="507">
        <f>J287*地域経済性分析・初期条件!$F$70</f>
        <v>0</v>
      </c>
      <c r="K303" s="507">
        <f>K287*地域経済性分析・初期条件!$F$70</f>
        <v>0</v>
      </c>
      <c r="L303" s="507">
        <f>L287*地域経済性分析・初期条件!$F$70</f>
        <v>0</v>
      </c>
      <c r="M303" s="507">
        <f>M287*地域経済性分析・初期条件!$F$70</f>
        <v>0</v>
      </c>
      <c r="N303" s="507">
        <f>N287*地域経済性分析・初期条件!$F$70</f>
        <v>0</v>
      </c>
      <c r="O303" s="507">
        <f>O287*地域経済性分析・初期条件!$F$70</f>
        <v>0</v>
      </c>
      <c r="P303" s="507">
        <f>P287*地域経済性分析・初期条件!$F$70</f>
        <v>0</v>
      </c>
      <c r="Q303" s="507">
        <f>Q287*地域経済性分析・初期条件!$F$70</f>
        <v>0</v>
      </c>
      <c r="R303" s="507">
        <f>R287*地域経済性分析・初期条件!$F$70</f>
        <v>0</v>
      </c>
      <c r="S303" s="507">
        <f>S287*地域経済性分析・初期条件!$F$70</f>
        <v>0</v>
      </c>
      <c r="T303" s="507">
        <f>T287*地域経済性分析・初期条件!$F$70</f>
        <v>0</v>
      </c>
      <c r="U303" s="507">
        <f>U287*地域経済性分析・初期条件!$F$70</f>
        <v>0</v>
      </c>
      <c r="V303" s="507">
        <f>V287*地域経済性分析・初期条件!$F$70</f>
        <v>0</v>
      </c>
      <c r="W303" s="507">
        <f>W287*地域経済性分析・初期条件!$F$70</f>
        <v>0</v>
      </c>
      <c r="X303" s="507">
        <f>X287*地域経済性分析・初期条件!$F$70</f>
        <v>0</v>
      </c>
      <c r="Y303" s="507">
        <f>Y287*地域経済性分析・初期条件!$F$70</f>
        <v>0</v>
      </c>
      <c r="Z303" s="507">
        <f>Z287*地域経済性分析・初期条件!$F$70</f>
        <v>0</v>
      </c>
      <c r="AA303" s="507">
        <f>AA287*地域経済性分析・初期条件!$F$70</f>
        <v>0</v>
      </c>
      <c r="AB303" s="507">
        <f>AB287*地域経済性分析・初期条件!$F$70</f>
        <v>0</v>
      </c>
      <c r="AC303" s="507">
        <f>AC287*地域経済性分析・初期条件!$F$70</f>
        <v>0</v>
      </c>
      <c r="AD303" s="507">
        <f>AD287*地域経済性分析・初期条件!$F$70</f>
        <v>0</v>
      </c>
      <c r="AE303" s="507">
        <f>AE287*地域経済性分析・初期条件!$F$70</f>
        <v>0</v>
      </c>
      <c r="AF303" s="507">
        <f>AF287*地域経済性分析・初期条件!$F$70</f>
        <v>0</v>
      </c>
      <c r="AG303" s="507">
        <f>AG287*地域経済性分析・初期条件!$F$70</f>
        <v>0</v>
      </c>
      <c r="AH303" s="507">
        <f>AH287*地域経済性分析・初期条件!$F$70</f>
        <v>0</v>
      </c>
      <c r="AI303" s="548">
        <f t="shared" ref="AI303:AI311" si="166">SUM(D303:N303)</f>
        <v>0</v>
      </c>
      <c r="AJ303" s="548">
        <f>SUM(D303:X303)</f>
        <v>0</v>
      </c>
      <c r="AK303" s="510">
        <f>SUM(D303:AH303)</f>
        <v>0</v>
      </c>
    </row>
    <row r="304" spans="1:37" ht="11.5" x14ac:dyDescent="0.25">
      <c r="A304" s="546" t="str">
        <f>A302&amp;B304</f>
        <v>0消費税（都道府県）</v>
      </c>
      <c r="B304" s="452" t="s">
        <v>263</v>
      </c>
      <c r="C304" s="464" t="s">
        <v>37</v>
      </c>
      <c r="D304" s="507">
        <f>D303*波及効果シート!$D$72</f>
        <v>0</v>
      </c>
      <c r="E304" s="507">
        <f>E303*波及効果シート!$D$72</f>
        <v>0</v>
      </c>
      <c r="F304" s="507">
        <f>F303*波及効果シート!$D$72</f>
        <v>0</v>
      </c>
      <c r="G304" s="507">
        <f>G303*波及効果シート!$D$72</f>
        <v>0</v>
      </c>
      <c r="H304" s="507">
        <f>H303*波及効果シート!$D$72</f>
        <v>0</v>
      </c>
      <c r="I304" s="507">
        <f>I303*波及効果シート!$D$72</f>
        <v>0</v>
      </c>
      <c r="J304" s="507">
        <f>J303*波及効果シート!$D$72</f>
        <v>0</v>
      </c>
      <c r="K304" s="507">
        <f>K303*波及効果シート!$D$72</f>
        <v>0</v>
      </c>
      <c r="L304" s="507">
        <f>L303*波及効果シート!$D$72</f>
        <v>0</v>
      </c>
      <c r="M304" s="507">
        <f>M303*波及効果シート!$D$72</f>
        <v>0</v>
      </c>
      <c r="N304" s="507">
        <f>N303*波及効果シート!$D$72</f>
        <v>0</v>
      </c>
      <c r="O304" s="507">
        <f>O303*波及効果シート!$D$72</f>
        <v>0</v>
      </c>
      <c r="P304" s="507">
        <f>P303*波及効果シート!$D$72</f>
        <v>0</v>
      </c>
      <c r="Q304" s="507">
        <f>Q303*波及効果シート!$D$72</f>
        <v>0</v>
      </c>
      <c r="R304" s="507">
        <f>R303*波及効果シート!$D$72</f>
        <v>0</v>
      </c>
      <c r="S304" s="507">
        <f>S303*波及効果シート!$D$72</f>
        <v>0</v>
      </c>
      <c r="T304" s="507">
        <f>T303*波及効果シート!$D$72</f>
        <v>0</v>
      </c>
      <c r="U304" s="507">
        <f>U303*波及効果シート!$D$72</f>
        <v>0</v>
      </c>
      <c r="V304" s="507">
        <f>V303*波及効果シート!$D$72</f>
        <v>0</v>
      </c>
      <c r="W304" s="507">
        <f>W303*波及効果シート!$D$72</f>
        <v>0</v>
      </c>
      <c r="X304" s="507">
        <f>X303*波及効果シート!$D$72</f>
        <v>0</v>
      </c>
      <c r="Y304" s="507">
        <f>Y303*波及効果シート!$D$72</f>
        <v>0</v>
      </c>
      <c r="Z304" s="507">
        <f>Z303*波及効果シート!$D$72</f>
        <v>0</v>
      </c>
      <c r="AA304" s="507">
        <f>AA303*波及効果シート!$D$72</f>
        <v>0</v>
      </c>
      <c r="AB304" s="507">
        <f>AB303*波及効果シート!$D$72</f>
        <v>0</v>
      </c>
      <c r="AC304" s="507">
        <f>AC303*波及効果シート!$D$72</f>
        <v>0</v>
      </c>
      <c r="AD304" s="507">
        <f>AD303*波及効果シート!$D$72</f>
        <v>0</v>
      </c>
      <c r="AE304" s="507">
        <f>AE303*波及効果シート!$D$72</f>
        <v>0</v>
      </c>
      <c r="AF304" s="507">
        <f>AF303*波及効果シート!$D$72</f>
        <v>0</v>
      </c>
      <c r="AG304" s="507">
        <f>AG303*波及効果シート!$D$72</f>
        <v>0</v>
      </c>
      <c r="AH304" s="507">
        <f>AH303*波及効果シート!$D$72</f>
        <v>0</v>
      </c>
      <c r="AI304" s="548">
        <f t="shared" si="166"/>
        <v>0</v>
      </c>
      <c r="AJ304" s="548">
        <f>SUM(D304:X304)</f>
        <v>0</v>
      </c>
      <c r="AK304" s="510">
        <f>SUM(D304:AH304)</f>
        <v>0</v>
      </c>
    </row>
    <row r="305" spans="1:37" ht="11.5" x14ac:dyDescent="0.25">
      <c r="A305" s="546" t="str">
        <f>A302&amp;B305</f>
        <v>0消費税（市町村）</v>
      </c>
      <c r="B305" s="452" t="s">
        <v>1048</v>
      </c>
      <c r="C305" s="465" t="s">
        <v>37</v>
      </c>
      <c r="D305" s="507">
        <f>D303*波及効果シート!$D$74</f>
        <v>0</v>
      </c>
      <c r="E305" s="507">
        <f>E303*波及効果シート!$D$74</f>
        <v>0</v>
      </c>
      <c r="F305" s="507">
        <f>F303*波及効果シート!$D$74</f>
        <v>0</v>
      </c>
      <c r="G305" s="507">
        <f>G303*波及効果シート!$D$74</f>
        <v>0</v>
      </c>
      <c r="H305" s="507">
        <f>H303*波及効果シート!$D$74</f>
        <v>0</v>
      </c>
      <c r="I305" s="507">
        <f>I303*波及効果シート!$D$74</f>
        <v>0</v>
      </c>
      <c r="J305" s="507">
        <f>J303*波及効果シート!$D$74</f>
        <v>0</v>
      </c>
      <c r="K305" s="507">
        <f>K303*波及効果シート!$D$74</f>
        <v>0</v>
      </c>
      <c r="L305" s="507">
        <f>L303*波及効果シート!$D$74</f>
        <v>0</v>
      </c>
      <c r="M305" s="507">
        <f>M303*波及効果シート!$D$74</f>
        <v>0</v>
      </c>
      <c r="N305" s="507">
        <f>N303*波及効果シート!$D$74</f>
        <v>0</v>
      </c>
      <c r="O305" s="507">
        <f>O303*波及効果シート!$D$74</f>
        <v>0</v>
      </c>
      <c r="P305" s="507">
        <f>P303*波及効果シート!$D$74</f>
        <v>0</v>
      </c>
      <c r="Q305" s="507">
        <f>Q303*波及効果シート!$D$74</f>
        <v>0</v>
      </c>
      <c r="R305" s="507">
        <f>R303*波及効果シート!$D$74</f>
        <v>0</v>
      </c>
      <c r="S305" s="507">
        <f>S303*波及効果シート!$D$74</f>
        <v>0</v>
      </c>
      <c r="T305" s="507">
        <f>T303*波及効果シート!$D$74</f>
        <v>0</v>
      </c>
      <c r="U305" s="507">
        <f>U303*波及効果シート!$D$74</f>
        <v>0</v>
      </c>
      <c r="V305" s="507">
        <f>V303*波及効果シート!$D$74</f>
        <v>0</v>
      </c>
      <c r="W305" s="507">
        <f>W303*波及効果シート!$D$74</f>
        <v>0</v>
      </c>
      <c r="X305" s="507">
        <f>X303*波及効果シート!$D$74</f>
        <v>0</v>
      </c>
      <c r="Y305" s="507">
        <f>Y303*波及効果シート!$D$74</f>
        <v>0</v>
      </c>
      <c r="Z305" s="507">
        <f>Z303*波及効果シート!$D$74</f>
        <v>0</v>
      </c>
      <c r="AA305" s="507">
        <f>AA303*波及効果シート!$D$74</f>
        <v>0</v>
      </c>
      <c r="AB305" s="507">
        <f>AB303*波及効果シート!$D$74</f>
        <v>0</v>
      </c>
      <c r="AC305" s="507">
        <f>AC303*波及効果シート!$D$74</f>
        <v>0</v>
      </c>
      <c r="AD305" s="507">
        <f>AD303*波及効果シート!$D$74</f>
        <v>0</v>
      </c>
      <c r="AE305" s="507">
        <f>AE303*波及効果シート!$D$74</f>
        <v>0</v>
      </c>
      <c r="AF305" s="507">
        <f>AF303*波及効果シート!$D$74</f>
        <v>0</v>
      </c>
      <c r="AG305" s="507">
        <f>AG303*波及効果シート!$D$74</f>
        <v>0</v>
      </c>
      <c r="AH305" s="507">
        <f>AH303*波及効果シート!$D$74</f>
        <v>0</v>
      </c>
      <c r="AI305" s="548">
        <f t="shared" si="166"/>
        <v>0</v>
      </c>
      <c r="AJ305" s="548">
        <f>SUM(D305:X305)</f>
        <v>0</v>
      </c>
      <c r="AK305" s="510">
        <f>SUM(D305:AH305)</f>
        <v>0</v>
      </c>
    </row>
    <row r="306" spans="1:37" ht="11.5" x14ac:dyDescent="0.25">
      <c r="A306" s="546" t="str">
        <f>A302&amp;B306</f>
        <v>0所得税（国税）</v>
      </c>
      <c r="B306" s="452" t="s">
        <v>356</v>
      </c>
      <c r="C306" s="465" t="s">
        <v>37</v>
      </c>
      <c r="D306" s="507">
        <f>D303*地域経済性分析・初期条件!$P$70</f>
        <v>0</v>
      </c>
      <c r="E306" s="507">
        <f>E303*地域経済性分析・初期条件!$P$70</f>
        <v>0</v>
      </c>
      <c r="F306" s="507">
        <f>F303*地域経済性分析・初期条件!$P$70</f>
        <v>0</v>
      </c>
      <c r="G306" s="507">
        <f>G303*地域経済性分析・初期条件!$P$70</f>
        <v>0</v>
      </c>
      <c r="H306" s="507">
        <f>H303*地域経済性分析・初期条件!$P$70</f>
        <v>0</v>
      </c>
      <c r="I306" s="507">
        <f>I303*地域経済性分析・初期条件!$P$70</f>
        <v>0</v>
      </c>
      <c r="J306" s="507">
        <f>J303*地域経済性分析・初期条件!$P$70</f>
        <v>0</v>
      </c>
      <c r="K306" s="507">
        <f>K303*地域経済性分析・初期条件!$P$70</f>
        <v>0</v>
      </c>
      <c r="L306" s="507">
        <f>L303*地域経済性分析・初期条件!$P$70</f>
        <v>0</v>
      </c>
      <c r="M306" s="507">
        <f>M303*地域経済性分析・初期条件!$P$70</f>
        <v>0</v>
      </c>
      <c r="N306" s="507">
        <f>N303*地域経済性分析・初期条件!$P$70</f>
        <v>0</v>
      </c>
      <c r="O306" s="507">
        <f>O303*地域経済性分析・初期条件!$P$70</f>
        <v>0</v>
      </c>
      <c r="P306" s="507">
        <f>P303*地域経済性分析・初期条件!$P$70</f>
        <v>0</v>
      </c>
      <c r="Q306" s="507">
        <f>Q303*地域経済性分析・初期条件!$P$70</f>
        <v>0</v>
      </c>
      <c r="R306" s="507">
        <f>R303*地域経済性分析・初期条件!$P$70</f>
        <v>0</v>
      </c>
      <c r="S306" s="507">
        <f>S303*地域経済性分析・初期条件!$P$70</f>
        <v>0</v>
      </c>
      <c r="T306" s="507">
        <f>T303*地域経済性分析・初期条件!$P$70</f>
        <v>0</v>
      </c>
      <c r="U306" s="507">
        <f>U303*地域経済性分析・初期条件!$P$70</f>
        <v>0</v>
      </c>
      <c r="V306" s="507">
        <f>V303*地域経済性分析・初期条件!$P$70</f>
        <v>0</v>
      </c>
      <c r="W306" s="507">
        <f>W303*地域経済性分析・初期条件!$P$70</f>
        <v>0</v>
      </c>
      <c r="X306" s="507">
        <f>X303*地域経済性分析・初期条件!$P$70</f>
        <v>0</v>
      </c>
      <c r="Y306" s="507">
        <f>Y303*地域経済性分析・初期条件!$P$70</f>
        <v>0</v>
      </c>
      <c r="Z306" s="507">
        <f>Z303*地域経済性分析・初期条件!$P$70</f>
        <v>0</v>
      </c>
      <c r="AA306" s="507">
        <f>AA303*地域経済性分析・初期条件!$P$70</f>
        <v>0</v>
      </c>
      <c r="AB306" s="507">
        <f>AB303*地域経済性分析・初期条件!$P$70</f>
        <v>0</v>
      </c>
      <c r="AC306" s="507">
        <f>AC303*地域経済性分析・初期条件!$P$70</f>
        <v>0</v>
      </c>
      <c r="AD306" s="507">
        <f>AD303*地域経済性分析・初期条件!$P$70</f>
        <v>0</v>
      </c>
      <c r="AE306" s="507">
        <f>AE303*地域経済性分析・初期条件!$P$70</f>
        <v>0</v>
      </c>
      <c r="AF306" s="507">
        <f>AF303*地域経済性分析・初期条件!$P$70</f>
        <v>0</v>
      </c>
      <c r="AG306" s="507">
        <f>AG303*地域経済性分析・初期条件!$P$70</f>
        <v>0</v>
      </c>
      <c r="AH306" s="507">
        <f>AH303*地域経済性分析・初期条件!$P$70</f>
        <v>0</v>
      </c>
      <c r="AI306" s="548">
        <f t="shared" si="166"/>
        <v>0</v>
      </c>
      <c r="AJ306" s="548">
        <f>SUM(D306:X306)</f>
        <v>0</v>
      </c>
      <c r="AK306" s="510">
        <f>SUM(D306:AH306)</f>
        <v>0</v>
      </c>
    </row>
    <row r="307" spans="1:37" ht="11.5" x14ac:dyDescent="0.25">
      <c r="A307" s="546" t="str">
        <f>A302&amp;B307</f>
        <v>0法人税（国税）</v>
      </c>
      <c r="B307" s="452" t="s">
        <v>355</v>
      </c>
      <c r="C307" s="465" t="s">
        <v>37</v>
      </c>
      <c r="D307" s="507">
        <f>D303*地域経済性分析・初期条件!$Q$70</f>
        <v>0</v>
      </c>
      <c r="E307" s="507">
        <f>E303*地域経済性分析・初期条件!$Q$70</f>
        <v>0</v>
      </c>
      <c r="F307" s="507">
        <f>F303*地域経済性分析・初期条件!$Q$70</f>
        <v>0</v>
      </c>
      <c r="G307" s="507">
        <f>G303*地域経済性分析・初期条件!$Q$70</f>
        <v>0</v>
      </c>
      <c r="H307" s="507">
        <f>H303*地域経済性分析・初期条件!$Q$70</f>
        <v>0</v>
      </c>
      <c r="I307" s="507">
        <f>I303*地域経済性分析・初期条件!$Q$70</f>
        <v>0</v>
      </c>
      <c r="J307" s="507">
        <f>J303*地域経済性分析・初期条件!$Q$70</f>
        <v>0</v>
      </c>
      <c r="K307" s="507">
        <f>K303*地域経済性分析・初期条件!$Q$70</f>
        <v>0</v>
      </c>
      <c r="L307" s="507">
        <f>L303*地域経済性分析・初期条件!$Q$70</f>
        <v>0</v>
      </c>
      <c r="M307" s="507">
        <f>M303*地域経済性分析・初期条件!$Q$70</f>
        <v>0</v>
      </c>
      <c r="N307" s="507">
        <f>N303*地域経済性分析・初期条件!$Q$70</f>
        <v>0</v>
      </c>
      <c r="O307" s="507">
        <f>O303*地域経済性分析・初期条件!$Q$70</f>
        <v>0</v>
      </c>
      <c r="P307" s="507">
        <f>P303*地域経済性分析・初期条件!$Q$70</f>
        <v>0</v>
      </c>
      <c r="Q307" s="507">
        <f>Q303*地域経済性分析・初期条件!$Q$70</f>
        <v>0</v>
      </c>
      <c r="R307" s="507">
        <f>R303*地域経済性分析・初期条件!$Q$70</f>
        <v>0</v>
      </c>
      <c r="S307" s="507">
        <f>S303*地域経済性分析・初期条件!$Q$70</f>
        <v>0</v>
      </c>
      <c r="T307" s="507">
        <f>T303*地域経済性分析・初期条件!$Q$70</f>
        <v>0</v>
      </c>
      <c r="U307" s="507">
        <f>U303*地域経済性分析・初期条件!$Q$70</f>
        <v>0</v>
      </c>
      <c r="V307" s="507">
        <f>V303*地域経済性分析・初期条件!$Q$70</f>
        <v>0</v>
      </c>
      <c r="W307" s="507">
        <f>W303*地域経済性分析・初期条件!$Q$70</f>
        <v>0</v>
      </c>
      <c r="X307" s="507">
        <f>X303*地域経済性分析・初期条件!$Q$70</f>
        <v>0</v>
      </c>
      <c r="Y307" s="507">
        <f>Y303*地域経済性分析・初期条件!$Q$70</f>
        <v>0</v>
      </c>
      <c r="Z307" s="507">
        <f>Z303*地域経済性分析・初期条件!$Q$70</f>
        <v>0</v>
      </c>
      <c r="AA307" s="507">
        <f>AA303*地域経済性分析・初期条件!$Q$70</f>
        <v>0</v>
      </c>
      <c r="AB307" s="507">
        <f>AB303*地域経済性分析・初期条件!$Q$70</f>
        <v>0</v>
      </c>
      <c r="AC307" s="507">
        <f>AC303*地域経済性分析・初期条件!$Q$70</f>
        <v>0</v>
      </c>
      <c r="AD307" s="507">
        <f>AD303*地域経済性分析・初期条件!$Q$70</f>
        <v>0</v>
      </c>
      <c r="AE307" s="507">
        <f>AE303*地域経済性分析・初期条件!$Q$70</f>
        <v>0</v>
      </c>
      <c r="AF307" s="507">
        <f>AF303*地域経済性分析・初期条件!$Q$70</f>
        <v>0</v>
      </c>
      <c r="AG307" s="507">
        <f>AG303*地域経済性分析・初期条件!$Q$70</f>
        <v>0</v>
      </c>
      <c r="AH307" s="507">
        <f>AH303*地域経済性分析・初期条件!$Q$70</f>
        <v>0</v>
      </c>
      <c r="AI307" s="548">
        <f t="shared" si="166"/>
        <v>0</v>
      </c>
      <c r="AJ307" s="548">
        <f>SUM(D307:X307)</f>
        <v>0</v>
      </c>
      <c r="AK307" s="510">
        <f>SUM(D307:AH307)</f>
        <v>0</v>
      </c>
    </row>
    <row r="308" spans="1:37" ht="11.5" x14ac:dyDescent="0.25">
      <c r="A308" s="546" t="str">
        <f>A302&amp;B308</f>
        <v>0従業員の可処分所得（一次）</v>
      </c>
      <c r="B308" s="452" t="s">
        <v>339</v>
      </c>
      <c r="C308" s="464" t="s">
        <v>37</v>
      </c>
      <c r="D308" s="507">
        <f>D303*地域経済性分析・初期条件!$H$70</f>
        <v>0</v>
      </c>
      <c r="E308" s="507">
        <f>E303*地域経済性分析・初期条件!$H$70</f>
        <v>0</v>
      </c>
      <c r="F308" s="507">
        <f>F303*地域経済性分析・初期条件!$H$70</f>
        <v>0</v>
      </c>
      <c r="G308" s="507">
        <f>G303*地域経済性分析・初期条件!$H$70</f>
        <v>0</v>
      </c>
      <c r="H308" s="507">
        <f>H303*地域経済性分析・初期条件!$H$70</f>
        <v>0</v>
      </c>
      <c r="I308" s="507">
        <f>I303*地域経済性分析・初期条件!$H$70</f>
        <v>0</v>
      </c>
      <c r="J308" s="507">
        <f>J303*地域経済性分析・初期条件!$H$70</f>
        <v>0</v>
      </c>
      <c r="K308" s="507">
        <f>K303*地域経済性分析・初期条件!$H$70</f>
        <v>0</v>
      </c>
      <c r="L308" s="507">
        <f>L303*地域経済性分析・初期条件!$H$70</f>
        <v>0</v>
      </c>
      <c r="M308" s="507">
        <f>M303*地域経済性分析・初期条件!$H$70</f>
        <v>0</v>
      </c>
      <c r="N308" s="507">
        <f>N303*地域経済性分析・初期条件!$H$70</f>
        <v>0</v>
      </c>
      <c r="O308" s="507">
        <f>O303*地域経済性分析・初期条件!$H$70</f>
        <v>0</v>
      </c>
      <c r="P308" s="507">
        <f>P303*地域経済性分析・初期条件!$H$70</f>
        <v>0</v>
      </c>
      <c r="Q308" s="507">
        <f>Q303*地域経済性分析・初期条件!$H$70</f>
        <v>0</v>
      </c>
      <c r="R308" s="507">
        <f>R303*地域経済性分析・初期条件!$H$70</f>
        <v>0</v>
      </c>
      <c r="S308" s="507">
        <f>S303*地域経済性分析・初期条件!$H$70</f>
        <v>0</v>
      </c>
      <c r="T308" s="507">
        <f>T303*地域経済性分析・初期条件!$H$70</f>
        <v>0</v>
      </c>
      <c r="U308" s="507">
        <f>U303*地域経済性分析・初期条件!$H$70</f>
        <v>0</v>
      </c>
      <c r="V308" s="507">
        <f>V303*地域経済性分析・初期条件!$H$70</f>
        <v>0</v>
      </c>
      <c r="W308" s="507">
        <f>W303*地域経済性分析・初期条件!$H$70</f>
        <v>0</v>
      </c>
      <c r="X308" s="507">
        <f>X303*地域経済性分析・初期条件!$H$70</f>
        <v>0</v>
      </c>
      <c r="Y308" s="507">
        <f>Y303*地域経済性分析・初期条件!$H$70</f>
        <v>0</v>
      </c>
      <c r="Z308" s="507">
        <f>Z303*地域経済性分析・初期条件!$H$70</f>
        <v>0</v>
      </c>
      <c r="AA308" s="507">
        <f>AA303*地域経済性分析・初期条件!$H$70</f>
        <v>0</v>
      </c>
      <c r="AB308" s="507">
        <f>AB303*地域経済性分析・初期条件!$H$70</f>
        <v>0</v>
      </c>
      <c r="AC308" s="507">
        <f>AC303*地域経済性分析・初期条件!$H$70</f>
        <v>0</v>
      </c>
      <c r="AD308" s="507">
        <f>AD303*地域経済性分析・初期条件!$H$70</f>
        <v>0</v>
      </c>
      <c r="AE308" s="507">
        <f>AE303*地域経済性分析・初期条件!$H$70</f>
        <v>0</v>
      </c>
      <c r="AF308" s="507">
        <f>AF303*地域経済性分析・初期条件!$H$70</f>
        <v>0</v>
      </c>
      <c r="AG308" s="507">
        <f>AG303*地域経済性分析・初期条件!$H$70</f>
        <v>0</v>
      </c>
      <c r="AH308" s="507">
        <f>AH303*地域経済性分析・初期条件!$H$70</f>
        <v>0</v>
      </c>
      <c r="AI308" s="548">
        <f t="shared" si="166"/>
        <v>0</v>
      </c>
      <c r="AJ308" s="548">
        <f t="shared" ref="AJ308:AJ315" si="167">SUM(D308:X308)</f>
        <v>0</v>
      </c>
      <c r="AK308" s="510">
        <f t="shared" ref="AK308:AK315" si="168">SUM(D308:AH308)</f>
        <v>0</v>
      </c>
    </row>
    <row r="309" spans="1:37" ht="11.5" x14ac:dyDescent="0.25">
      <c r="A309" s="546" t="str">
        <f>A302&amp;B309</f>
        <v>0企業の税引後利益（一次）</v>
      </c>
      <c r="B309" s="452" t="s">
        <v>340</v>
      </c>
      <c r="C309" s="464" t="s">
        <v>37</v>
      </c>
      <c r="D309" s="507">
        <f>D303*地域経済性分析・初期条件!$I$70</f>
        <v>0</v>
      </c>
      <c r="E309" s="507">
        <f>E303*地域経済性分析・初期条件!$I$70</f>
        <v>0</v>
      </c>
      <c r="F309" s="507">
        <f>F303*地域経済性分析・初期条件!$I$70</f>
        <v>0</v>
      </c>
      <c r="G309" s="507">
        <f>G303*地域経済性分析・初期条件!$I$70</f>
        <v>0</v>
      </c>
      <c r="H309" s="507">
        <f>H303*地域経済性分析・初期条件!$I$70</f>
        <v>0</v>
      </c>
      <c r="I309" s="507">
        <f>I303*地域経済性分析・初期条件!$I$70</f>
        <v>0</v>
      </c>
      <c r="J309" s="507">
        <f>J303*地域経済性分析・初期条件!$I$70</f>
        <v>0</v>
      </c>
      <c r="K309" s="507">
        <f>K303*地域経済性分析・初期条件!$I$70</f>
        <v>0</v>
      </c>
      <c r="L309" s="507">
        <f>L303*地域経済性分析・初期条件!$I$70</f>
        <v>0</v>
      </c>
      <c r="M309" s="507">
        <f>M303*地域経済性分析・初期条件!$I$70</f>
        <v>0</v>
      </c>
      <c r="N309" s="507">
        <f>N303*地域経済性分析・初期条件!$I$70</f>
        <v>0</v>
      </c>
      <c r="O309" s="507">
        <f>O303*地域経済性分析・初期条件!$I$70</f>
        <v>0</v>
      </c>
      <c r="P309" s="507">
        <f>P303*地域経済性分析・初期条件!$I$70</f>
        <v>0</v>
      </c>
      <c r="Q309" s="507">
        <f>Q303*地域経済性分析・初期条件!$I$70</f>
        <v>0</v>
      </c>
      <c r="R309" s="507">
        <f>R303*地域経済性分析・初期条件!$I$70</f>
        <v>0</v>
      </c>
      <c r="S309" s="507">
        <f>S303*地域経済性分析・初期条件!$I$70</f>
        <v>0</v>
      </c>
      <c r="T309" s="507">
        <f>T303*地域経済性分析・初期条件!$I$70</f>
        <v>0</v>
      </c>
      <c r="U309" s="507">
        <f>U303*地域経済性分析・初期条件!$I$70</f>
        <v>0</v>
      </c>
      <c r="V309" s="507">
        <f>V303*地域経済性分析・初期条件!$I$70</f>
        <v>0</v>
      </c>
      <c r="W309" s="507">
        <f>W303*地域経済性分析・初期条件!$I$70</f>
        <v>0</v>
      </c>
      <c r="X309" s="507">
        <f>X303*地域経済性分析・初期条件!$I$70</f>
        <v>0</v>
      </c>
      <c r="Y309" s="507">
        <f>Y303*地域経済性分析・初期条件!$I$70</f>
        <v>0</v>
      </c>
      <c r="Z309" s="507">
        <f>Z303*地域経済性分析・初期条件!$I$70</f>
        <v>0</v>
      </c>
      <c r="AA309" s="507">
        <f>AA303*地域経済性分析・初期条件!$I$70</f>
        <v>0</v>
      </c>
      <c r="AB309" s="507">
        <f>AB303*地域経済性分析・初期条件!$I$70</f>
        <v>0</v>
      </c>
      <c r="AC309" s="507">
        <f>AC303*地域経済性分析・初期条件!$I$70</f>
        <v>0</v>
      </c>
      <c r="AD309" s="507">
        <f>AD303*地域経済性分析・初期条件!$I$70</f>
        <v>0</v>
      </c>
      <c r="AE309" s="507">
        <f>AE303*地域経済性分析・初期条件!$I$70</f>
        <v>0</v>
      </c>
      <c r="AF309" s="507">
        <f>AF303*地域経済性分析・初期条件!$I$70</f>
        <v>0</v>
      </c>
      <c r="AG309" s="507">
        <f>AG303*地域経済性分析・初期条件!$I$70</f>
        <v>0</v>
      </c>
      <c r="AH309" s="507">
        <f>AH303*地域経済性分析・初期条件!$I$70</f>
        <v>0</v>
      </c>
      <c r="AI309" s="548">
        <f t="shared" si="166"/>
        <v>0</v>
      </c>
      <c r="AJ309" s="548">
        <f t="shared" si="167"/>
        <v>0</v>
      </c>
      <c r="AK309" s="510">
        <f t="shared" si="168"/>
        <v>0</v>
      </c>
    </row>
    <row r="310" spans="1:37" ht="11.5" x14ac:dyDescent="0.25">
      <c r="A310" s="546" t="str">
        <f>A302&amp;B310</f>
        <v>0都道府県税収（一次）</v>
      </c>
      <c r="B310" s="452" t="s">
        <v>341</v>
      </c>
      <c r="C310" s="464" t="s">
        <v>37</v>
      </c>
      <c r="D310" s="507">
        <f>D303*地域経済性分析・初期条件!$J$70</f>
        <v>0</v>
      </c>
      <c r="E310" s="507">
        <f>E303*地域経済性分析・初期条件!$J$70</f>
        <v>0</v>
      </c>
      <c r="F310" s="507">
        <f>F303*地域経済性分析・初期条件!$J$70</f>
        <v>0</v>
      </c>
      <c r="G310" s="507">
        <f>G303*地域経済性分析・初期条件!$J$70</f>
        <v>0</v>
      </c>
      <c r="H310" s="507">
        <f>H303*地域経済性分析・初期条件!$J$70</f>
        <v>0</v>
      </c>
      <c r="I310" s="507">
        <f>I303*地域経済性分析・初期条件!$J$70</f>
        <v>0</v>
      </c>
      <c r="J310" s="507">
        <f>J303*地域経済性分析・初期条件!$J$70</f>
        <v>0</v>
      </c>
      <c r="K310" s="507">
        <f>K303*地域経済性分析・初期条件!$J$70</f>
        <v>0</v>
      </c>
      <c r="L310" s="507">
        <f>L303*地域経済性分析・初期条件!$J$70</f>
        <v>0</v>
      </c>
      <c r="M310" s="507">
        <f>M303*地域経済性分析・初期条件!$J$70</f>
        <v>0</v>
      </c>
      <c r="N310" s="507">
        <f>N303*地域経済性分析・初期条件!$J$70</f>
        <v>0</v>
      </c>
      <c r="O310" s="507">
        <f>O303*地域経済性分析・初期条件!$J$70</f>
        <v>0</v>
      </c>
      <c r="P310" s="507">
        <f>P303*地域経済性分析・初期条件!$J$70</f>
        <v>0</v>
      </c>
      <c r="Q310" s="507">
        <f>Q303*地域経済性分析・初期条件!$J$70</f>
        <v>0</v>
      </c>
      <c r="R310" s="507">
        <f>R303*地域経済性分析・初期条件!$J$70</f>
        <v>0</v>
      </c>
      <c r="S310" s="507">
        <f>S303*地域経済性分析・初期条件!$J$70</f>
        <v>0</v>
      </c>
      <c r="T310" s="507">
        <f>T303*地域経済性分析・初期条件!$J$70</f>
        <v>0</v>
      </c>
      <c r="U310" s="507">
        <f>U303*地域経済性分析・初期条件!$J$70</f>
        <v>0</v>
      </c>
      <c r="V310" s="507">
        <f>V303*地域経済性分析・初期条件!$J$70</f>
        <v>0</v>
      </c>
      <c r="W310" s="507">
        <f>W303*地域経済性分析・初期条件!$J$70</f>
        <v>0</v>
      </c>
      <c r="X310" s="507">
        <f>X303*地域経済性分析・初期条件!$J$70</f>
        <v>0</v>
      </c>
      <c r="Y310" s="507">
        <f>Y303*地域経済性分析・初期条件!$J$70</f>
        <v>0</v>
      </c>
      <c r="Z310" s="507">
        <f>Z303*地域経済性分析・初期条件!$J$70</f>
        <v>0</v>
      </c>
      <c r="AA310" s="507">
        <f>AA303*地域経済性分析・初期条件!$J$70</f>
        <v>0</v>
      </c>
      <c r="AB310" s="507">
        <f>AB303*地域経済性分析・初期条件!$J$70</f>
        <v>0</v>
      </c>
      <c r="AC310" s="507">
        <f>AC303*地域経済性分析・初期条件!$J$70</f>
        <v>0</v>
      </c>
      <c r="AD310" s="507">
        <f>AD303*地域経済性分析・初期条件!$J$70</f>
        <v>0</v>
      </c>
      <c r="AE310" s="507">
        <f>AE303*地域経済性分析・初期条件!$J$70</f>
        <v>0</v>
      </c>
      <c r="AF310" s="507">
        <f>AF303*地域経済性分析・初期条件!$J$70</f>
        <v>0</v>
      </c>
      <c r="AG310" s="507">
        <f>AG303*地域経済性分析・初期条件!$J$70</f>
        <v>0</v>
      </c>
      <c r="AH310" s="507">
        <f>AH303*地域経済性分析・初期条件!$J$70</f>
        <v>0</v>
      </c>
      <c r="AI310" s="548">
        <f t="shared" si="166"/>
        <v>0</v>
      </c>
      <c r="AJ310" s="548">
        <f t="shared" si="167"/>
        <v>0</v>
      </c>
      <c r="AK310" s="510">
        <f t="shared" si="168"/>
        <v>0</v>
      </c>
    </row>
    <row r="311" spans="1:37" ht="11.5" x14ac:dyDescent="0.25">
      <c r="A311" s="546" t="str">
        <f>A302&amp;B311</f>
        <v>0市町村税収（一次）</v>
      </c>
      <c r="B311" s="452" t="s">
        <v>342</v>
      </c>
      <c r="C311" s="465" t="s">
        <v>37</v>
      </c>
      <c r="D311" s="507">
        <f>D303*地域経済性分析・初期条件!$K$70</f>
        <v>0</v>
      </c>
      <c r="E311" s="507">
        <f>E303*地域経済性分析・初期条件!$K$70</f>
        <v>0</v>
      </c>
      <c r="F311" s="507">
        <f>F303*地域経済性分析・初期条件!$K$70</f>
        <v>0</v>
      </c>
      <c r="G311" s="507">
        <f>G303*地域経済性分析・初期条件!$K$70</f>
        <v>0</v>
      </c>
      <c r="H311" s="507">
        <f>H303*地域経済性分析・初期条件!$K$70</f>
        <v>0</v>
      </c>
      <c r="I311" s="507">
        <f>I303*地域経済性分析・初期条件!$K$70</f>
        <v>0</v>
      </c>
      <c r="J311" s="507">
        <f>J303*地域経済性分析・初期条件!$K$70</f>
        <v>0</v>
      </c>
      <c r="K311" s="507">
        <f>K303*地域経済性分析・初期条件!$K$70</f>
        <v>0</v>
      </c>
      <c r="L311" s="507">
        <f>L303*地域経済性分析・初期条件!$K$70</f>
        <v>0</v>
      </c>
      <c r="M311" s="507">
        <f>M303*地域経済性分析・初期条件!$K$70</f>
        <v>0</v>
      </c>
      <c r="N311" s="507">
        <f>N303*地域経済性分析・初期条件!$K$70</f>
        <v>0</v>
      </c>
      <c r="O311" s="507">
        <f>O303*地域経済性分析・初期条件!$K$70</f>
        <v>0</v>
      </c>
      <c r="P311" s="507">
        <f>P303*地域経済性分析・初期条件!$K$70</f>
        <v>0</v>
      </c>
      <c r="Q311" s="507">
        <f>Q303*地域経済性分析・初期条件!$K$70</f>
        <v>0</v>
      </c>
      <c r="R311" s="507">
        <f>R303*地域経済性分析・初期条件!$K$70</f>
        <v>0</v>
      </c>
      <c r="S311" s="507">
        <f>S303*地域経済性分析・初期条件!$K$70</f>
        <v>0</v>
      </c>
      <c r="T311" s="507">
        <f>T303*地域経済性分析・初期条件!$K$70</f>
        <v>0</v>
      </c>
      <c r="U311" s="507">
        <f>U303*地域経済性分析・初期条件!$K$70</f>
        <v>0</v>
      </c>
      <c r="V311" s="507">
        <f>V303*地域経済性分析・初期条件!$K$70</f>
        <v>0</v>
      </c>
      <c r="W311" s="507">
        <f>W303*地域経済性分析・初期条件!$K$70</f>
        <v>0</v>
      </c>
      <c r="X311" s="507">
        <f>X303*地域経済性分析・初期条件!$K$70</f>
        <v>0</v>
      </c>
      <c r="Y311" s="507">
        <f>Y303*地域経済性分析・初期条件!$K$70</f>
        <v>0</v>
      </c>
      <c r="Z311" s="507">
        <f>Z303*地域経済性分析・初期条件!$K$70</f>
        <v>0</v>
      </c>
      <c r="AA311" s="507">
        <f>AA303*地域経済性分析・初期条件!$K$70</f>
        <v>0</v>
      </c>
      <c r="AB311" s="507">
        <f>AB303*地域経済性分析・初期条件!$K$70</f>
        <v>0</v>
      </c>
      <c r="AC311" s="507">
        <f>AC303*地域経済性分析・初期条件!$K$70</f>
        <v>0</v>
      </c>
      <c r="AD311" s="507">
        <f>AD303*地域経済性分析・初期条件!$K$70</f>
        <v>0</v>
      </c>
      <c r="AE311" s="507">
        <f>AE303*地域経済性分析・初期条件!$K$70</f>
        <v>0</v>
      </c>
      <c r="AF311" s="507">
        <f>AF303*地域経済性分析・初期条件!$K$70</f>
        <v>0</v>
      </c>
      <c r="AG311" s="507">
        <f>AG303*地域経済性分析・初期条件!$K$70</f>
        <v>0</v>
      </c>
      <c r="AH311" s="507">
        <f>AH303*地域経済性分析・初期条件!$K$70</f>
        <v>0</v>
      </c>
      <c r="AI311" s="548">
        <f t="shared" si="166"/>
        <v>0</v>
      </c>
      <c r="AJ311" s="548">
        <f t="shared" si="167"/>
        <v>0</v>
      </c>
      <c r="AK311" s="510">
        <f t="shared" si="168"/>
        <v>0</v>
      </c>
    </row>
    <row r="312" spans="1:37" ht="11.5" x14ac:dyDescent="0.25">
      <c r="A312" s="546" t="str">
        <f>A302&amp;B312</f>
        <v>0従業員の可処分所得（二次以降）</v>
      </c>
      <c r="B312" s="452" t="s">
        <v>344</v>
      </c>
      <c r="C312" s="465" t="s">
        <v>37</v>
      </c>
      <c r="D312" s="507">
        <f>D303*地域経済性分析・初期条件!$L$70</f>
        <v>0</v>
      </c>
      <c r="E312" s="507">
        <f>E303*地域経済性分析・初期条件!$L$70</f>
        <v>0</v>
      </c>
      <c r="F312" s="507">
        <f>F303*地域経済性分析・初期条件!$L$70</f>
        <v>0</v>
      </c>
      <c r="G312" s="507">
        <f>G303*地域経済性分析・初期条件!$L$70</f>
        <v>0</v>
      </c>
      <c r="H312" s="507">
        <f>H303*地域経済性分析・初期条件!$L$70</f>
        <v>0</v>
      </c>
      <c r="I312" s="507">
        <f>I303*地域経済性分析・初期条件!$L$70</f>
        <v>0</v>
      </c>
      <c r="J312" s="507">
        <f>J303*地域経済性分析・初期条件!$L$70</f>
        <v>0</v>
      </c>
      <c r="K312" s="507">
        <f>K303*地域経済性分析・初期条件!$L$70</f>
        <v>0</v>
      </c>
      <c r="L312" s="507">
        <f>L303*地域経済性分析・初期条件!$L$70</f>
        <v>0</v>
      </c>
      <c r="M312" s="507">
        <f>M303*地域経済性分析・初期条件!$L$70</f>
        <v>0</v>
      </c>
      <c r="N312" s="507">
        <f>N303*地域経済性分析・初期条件!$L$70</f>
        <v>0</v>
      </c>
      <c r="O312" s="507">
        <f>O303*地域経済性分析・初期条件!$L$70</f>
        <v>0</v>
      </c>
      <c r="P312" s="507">
        <f>P303*地域経済性分析・初期条件!$L$70</f>
        <v>0</v>
      </c>
      <c r="Q312" s="507">
        <f>Q303*地域経済性分析・初期条件!$L$70</f>
        <v>0</v>
      </c>
      <c r="R312" s="507">
        <f>R303*地域経済性分析・初期条件!$L$70</f>
        <v>0</v>
      </c>
      <c r="S312" s="507">
        <f>S303*地域経済性分析・初期条件!$L$70</f>
        <v>0</v>
      </c>
      <c r="T312" s="507">
        <f>T303*地域経済性分析・初期条件!$L$70</f>
        <v>0</v>
      </c>
      <c r="U312" s="507">
        <f>U303*地域経済性分析・初期条件!$L$70</f>
        <v>0</v>
      </c>
      <c r="V312" s="507">
        <f>V303*地域経済性分析・初期条件!$L$70</f>
        <v>0</v>
      </c>
      <c r="W312" s="507">
        <f>W303*地域経済性分析・初期条件!$L$70</f>
        <v>0</v>
      </c>
      <c r="X312" s="507">
        <f>X303*地域経済性分析・初期条件!$L$70</f>
        <v>0</v>
      </c>
      <c r="Y312" s="507">
        <f>Y303*地域経済性分析・初期条件!$L$70</f>
        <v>0</v>
      </c>
      <c r="Z312" s="507">
        <f>Z303*地域経済性分析・初期条件!$L$70</f>
        <v>0</v>
      </c>
      <c r="AA312" s="507">
        <f>AA303*地域経済性分析・初期条件!$L$70</f>
        <v>0</v>
      </c>
      <c r="AB312" s="507">
        <f>AB303*地域経済性分析・初期条件!$L$70</f>
        <v>0</v>
      </c>
      <c r="AC312" s="507">
        <f>AC303*地域経済性分析・初期条件!$L$70</f>
        <v>0</v>
      </c>
      <c r="AD312" s="507">
        <f>AD303*地域経済性分析・初期条件!$L$70</f>
        <v>0</v>
      </c>
      <c r="AE312" s="507">
        <f>AE303*地域経済性分析・初期条件!$L$70</f>
        <v>0</v>
      </c>
      <c r="AF312" s="507">
        <f>AF303*地域経済性分析・初期条件!$L$70</f>
        <v>0</v>
      </c>
      <c r="AG312" s="507">
        <f>AG303*地域経済性分析・初期条件!$L$70</f>
        <v>0</v>
      </c>
      <c r="AH312" s="507">
        <f>AH303*地域経済性分析・初期条件!$L$70</f>
        <v>0</v>
      </c>
      <c r="AI312" s="548">
        <f>SUM(D312:N312)</f>
        <v>0</v>
      </c>
      <c r="AJ312" s="548">
        <f t="shared" si="167"/>
        <v>0</v>
      </c>
      <c r="AK312" s="510">
        <f t="shared" si="168"/>
        <v>0</v>
      </c>
    </row>
    <row r="313" spans="1:37" ht="11.5" x14ac:dyDescent="0.25">
      <c r="A313" s="546" t="str">
        <f>A302&amp;B313</f>
        <v>0企業の税引後利益（二次以降）</v>
      </c>
      <c r="B313" s="452" t="s">
        <v>345</v>
      </c>
      <c r="C313" s="465" t="s">
        <v>37</v>
      </c>
      <c r="D313" s="507">
        <f>D303*地域経済性分析・初期条件!$M$70</f>
        <v>0</v>
      </c>
      <c r="E313" s="507">
        <f>E303*地域経済性分析・初期条件!$M$70</f>
        <v>0</v>
      </c>
      <c r="F313" s="507">
        <f>F303*地域経済性分析・初期条件!$M$70</f>
        <v>0</v>
      </c>
      <c r="G313" s="507">
        <f>G303*地域経済性分析・初期条件!$M$70</f>
        <v>0</v>
      </c>
      <c r="H313" s="507">
        <f>H303*地域経済性分析・初期条件!$M$70</f>
        <v>0</v>
      </c>
      <c r="I313" s="507">
        <f>I303*地域経済性分析・初期条件!$M$70</f>
        <v>0</v>
      </c>
      <c r="J313" s="507">
        <f>J303*地域経済性分析・初期条件!$M$70</f>
        <v>0</v>
      </c>
      <c r="K313" s="507">
        <f>K303*地域経済性分析・初期条件!$M$70</f>
        <v>0</v>
      </c>
      <c r="L313" s="507">
        <f>L303*地域経済性分析・初期条件!$M$70</f>
        <v>0</v>
      </c>
      <c r="M313" s="507">
        <f>M303*地域経済性分析・初期条件!$M$70</f>
        <v>0</v>
      </c>
      <c r="N313" s="507">
        <f>N303*地域経済性分析・初期条件!$M$70</f>
        <v>0</v>
      </c>
      <c r="O313" s="507">
        <f>O303*地域経済性分析・初期条件!$M$70</f>
        <v>0</v>
      </c>
      <c r="P313" s="507">
        <f>P303*地域経済性分析・初期条件!$M$70</f>
        <v>0</v>
      </c>
      <c r="Q313" s="507">
        <f>Q303*地域経済性分析・初期条件!$M$70</f>
        <v>0</v>
      </c>
      <c r="R313" s="507">
        <f>R303*地域経済性分析・初期条件!$M$70</f>
        <v>0</v>
      </c>
      <c r="S313" s="507">
        <f>S303*地域経済性分析・初期条件!$M$70</f>
        <v>0</v>
      </c>
      <c r="T313" s="507">
        <f>T303*地域経済性分析・初期条件!$M$70</f>
        <v>0</v>
      </c>
      <c r="U313" s="507">
        <f>U303*地域経済性分析・初期条件!$M$70</f>
        <v>0</v>
      </c>
      <c r="V313" s="507">
        <f>V303*地域経済性分析・初期条件!$M$70</f>
        <v>0</v>
      </c>
      <c r="W313" s="507">
        <f>W303*地域経済性分析・初期条件!$M$70</f>
        <v>0</v>
      </c>
      <c r="X313" s="507">
        <f>X303*地域経済性分析・初期条件!$M$70</f>
        <v>0</v>
      </c>
      <c r="Y313" s="507">
        <f>Y303*地域経済性分析・初期条件!$M$70</f>
        <v>0</v>
      </c>
      <c r="Z313" s="507">
        <f>Z303*地域経済性分析・初期条件!$M$70</f>
        <v>0</v>
      </c>
      <c r="AA313" s="507">
        <f>AA303*地域経済性分析・初期条件!$M$70</f>
        <v>0</v>
      </c>
      <c r="AB313" s="507">
        <f>AB303*地域経済性分析・初期条件!$M$70</f>
        <v>0</v>
      </c>
      <c r="AC313" s="507">
        <f>AC303*地域経済性分析・初期条件!$M$70</f>
        <v>0</v>
      </c>
      <c r="AD313" s="507">
        <f>AD303*地域経済性分析・初期条件!$M$70</f>
        <v>0</v>
      </c>
      <c r="AE313" s="507">
        <f>AE303*地域経済性分析・初期条件!$M$70</f>
        <v>0</v>
      </c>
      <c r="AF313" s="507">
        <f>AF303*地域経済性分析・初期条件!$M$70</f>
        <v>0</v>
      </c>
      <c r="AG313" s="507">
        <f>AG303*地域経済性分析・初期条件!$M$70</f>
        <v>0</v>
      </c>
      <c r="AH313" s="507">
        <f>AH303*地域経済性分析・初期条件!$M$70</f>
        <v>0</v>
      </c>
      <c r="AI313" s="548">
        <f>SUM(D313:N313)</f>
        <v>0</v>
      </c>
      <c r="AJ313" s="548">
        <f t="shared" si="167"/>
        <v>0</v>
      </c>
      <c r="AK313" s="510">
        <f t="shared" si="168"/>
        <v>0</v>
      </c>
    </row>
    <row r="314" spans="1:37" ht="11.5" x14ac:dyDescent="0.25">
      <c r="A314" s="546" t="str">
        <f>A302&amp;B314</f>
        <v>0都道府県税収（二次以降）</v>
      </c>
      <c r="B314" s="452" t="s">
        <v>346</v>
      </c>
      <c r="C314" s="465" t="s">
        <v>37</v>
      </c>
      <c r="D314" s="507">
        <f>D303*地域経済性分析・初期条件!$N$70</f>
        <v>0</v>
      </c>
      <c r="E314" s="507">
        <f>E303*地域経済性分析・初期条件!$N$70</f>
        <v>0</v>
      </c>
      <c r="F314" s="507">
        <f>F303*地域経済性分析・初期条件!$N$70</f>
        <v>0</v>
      </c>
      <c r="G314" s="507">
        <f>G303*地域経済性分析・初期条件!$N$70</f>
        <v>0</v>
      </c>
      <c r="H314" s="507">
        <f>H303*地域経済性分析・初期条件!$N$70</f>
        <v>0</v>
      </c>
      <c r="I314" s="507">
        <f>I303*地域経済性分析・初期条件!$N$70</f>
        <v>0</v>
      </c>
      <c r="J314" s="507">
        <f>J303*地域経済性分析・初期条件!$N$70</f>
        <v>0</v>
      </c>
      <c r="K314" s="507">
        <f>K303*地域経済性分析・初期条件!$N$70</f>
        <v>0</v>
      </c>
      <c r="L314" s="507">
        <f>L303*地域経済性分析・初期条件!$N$70</f>
        <v>0</v>
      </c>
      <c r="M314" s="507">
        <f>M303*地域経済性分析・初期条件!$N$70</f>
        <v>0</v>
      </c>
      <c r="N314" s="507">
        <f>N303*地域経済性分析・初期条件!$N$70</f>
        <v>0</v>
      </c>
      <c r="O314" s="507">
        <f>O303*地域経済性分析・初期条件!$N$70</f>
        <v>0</v>
      </c>
      <c r="P314" s="507">
        <f>P303*地域経済性分析・初期条件!$N$70</f>
        <v>0</v>
      </c>
      <c r="Q314" s="507">
        <f>Q303*地域経済性分析・初期条件!$N$70</f>
        <v>0</v>
      </c>
      <c r="R314" s="507">
        <f>R303*地域経済性分析・初期条件!$N$70</f>
        <v>0</v>
      </c>
      <c r="S314" s="507">
        <f>S303*地域経済性分析・初期条件!$N$70</f>
        <v>0</v>
      </c>
      <c r="T314" s="507">
        <f>T303*地域経済性分析・初期条件!$N$70</f>
        <v>0</v>
      </c>
      <c r="U314" s="507">
        <f>U303*地域経済性分析・初期条件!$N$70</f>
        <v>0</v>
      </c>
      <c r="V314" s="507">
        <f>V303*地域経済性分析・初期条件!$N$70</f>
        <v>0</v>
      </c>
      <c r="W314" s="507">
        <f>W303*地域経済性分析・初期条件!$N$70</f>
        <v>0</v>
      </c>
      <c r="X314" s="507">
        <f>X303*地域経済性分析・初期条件!$N$70</f>
        <v>0</v>
      </c>
      <c r="Y314" s="507">
        <f>Y303*地域経済性分析・初期条件!$N$70</f>
        <v>0</v>
      </c>
      <c r="Z314" s="507">
        <f>Z303*地域経済性分析・初期条件!$N$70</f>
        <v>0</v>
      </c>
      <c r="AA314" s="507">
        <f>AA303*地域経済性分析・初期条件!$N$70</f>
        <v>0</v>
      </c>
      <c r="AB314" s="507">
        <f>AB303*地域経済性分析・初期条件!$N$70</f>
        <v>0</v>
      </c>
      <c r="AC314" s="507">
        <f>AC303*地域経済性分析・初期条件!$N$70</f>
        <v>0</v>
      </c>
      <c r="AD314" s="507">
        <f>AD303*地域経済性分析・初期条件!$N$70</f>
        <v>0</v>
      </c>
      <c r="AE314" s="507">
        <f>AE303*地域経済性分析・初期条件!$N$70</f>
        <v>0</v>
      </c>
      <c r="AF314" s="507">
        <f>AF303*地域経済性分析・初期条件!$N$70</f>
        <v>0</v>
      </c>
      <c r="AG314" s="507">
        <f>AG303*地域経済性分析・初期条件!$N$70</f>
        <v>0</v>
      </c>
      <c r="AH314" s="507">
        <f>AH303*地域経済性分析・初期条件!$N$70</f>
        <v>0</v>
      </c>
      <c r="AI314" s="548">
        <f>SUM(D314:N314)</f>
        <v>0</v>
      </c>
      <c r="AJ314" s="548">
        <f t="shared" si="167"/>
        <v>0</v>
      </c>
      <c r="AK314" s="510">
        <f t="shared" si="168"/>
        <v>0</v>
      </c>
    </row>
    <row r="315" spans="1:37" ht="11.5" x14ac:dyDescent="0.25">
      <c r="A315" s="546" t="str">
        <f>A302&amp;B315</f>
        <v>0市町村税収（二次以降）</v>
      </c>
      <c r="B315" s="452" t="s">
        <v>347</v>
      </c>
      <c r="C315" s="465" t="s">
        <v>37</v>
      </c>
      <c r="D315" s="507">
        <f>D303*地域経済性分析・初期条件!$O$70</f>
        <v>0</v>
      </c>
      <c r="E315" s="507">
        <f>E303*地域経済性分析・初期条件!$O$70</f>
        <v>0</v>
      </c>
      <c r="F315" s="507">
        <f>F303*地域経済性分析・初期条件!$O$70</f>
        <v>0</v>
      </c>
      <c r="G315" s="507">
        <f>G303*地域経済性分析・初期条件!$O$70</f>
        <v>0</v>
      </c>
      <c r="H315" s="507">
        <f>H303*地域経済性分析・初期条件!$O$70</f>
        <v>0</v>
      </c>
      <c r="I315" s="507">
        <f>I303*地域経済性分析・初期条件!$O$70</f>
        <v>0</v>
      </c>
      <c r="J315" s="507">
        <f>J303*地域経済性分析・初期条件!$O$70</f>
        <v>0</v>
      </c>
      <c r="K315" s="507">
        <f>K303*地域経済性分析・初期条件!$O$70</f>
        <v>0</v>
      </c>
      <c r="L315" s="507">
        <f>L303*地域経済性分析・初期条件!$O$70</f>
        <v>0</v>
      </c>
      <c r="M315" s="507">
        <f>M303*地域経済性分析・初期条件!$O$70</f>
        <v>0</v>
      </c>
      <c r="N315" s="507">
        <f>N303*地域経済性分析・初期条件!$O$70</f>
        <v>0</v>
      </c>
      <c r="O315" s="507">
        <f>O303*地域経済性分析・初期条件!$O$70</f>
        <v>0</v>
      </c>
      <c r="P315" s="507">
        <f>P303*地域経済性分析・初期条件!$O$70</f>
        <v>0</v>
      </c>
      <c r="Q315" s="507">
        <f>Q303*地域経済性分析・初期条件!$O$70</f>
        <v>0</v>
      </c>
      <c r="R315" s="507">
        <f>R303*地域経済性分析・初期条件!$O$70</f>
        <v>0</v>
      </c>
      <c r="S315" s="507">
        <f>S303*地域経済性分析・初期条件!$O$70</f>
        <v>0</v>
      </c>
      <c r="T315" s="507">
        <f>T303*地域経済性分析・初期条件!$O$70</f>
        <v>0</v>
      </c>
      <c r="U315" s="507">
        <f>U303*地域経済性分析・初期条件!$O$70</f>
        <v>0</v>
      </c>
      <c r="V315" s="507">
        <f>V303*地域経済性分析・初期条件!$O$70</f>
        <v>0</v>
      </c>
      <c r="W315" s="507">
        <f>W303*地域経済性分析・初期条件!$O$70</f>
        <v>0</v>
      </c>
      <c r="X315" s="507">
        <f>X303*地域経済性分析・初期条件!$O$70</f>
        <v>0</v>
      </c>
      <c r="Y315" s="507">
        <f>Y303*地域経済性分析・初期条件!$O$70</f>
        <v>0</v>
      </c>
      <c r="Z315" s="507">
        <f>Z303*地域経済性分析・初期条件!$O$70</f>
        <v>0</v>
      </c>
      <c r="AA315" s="507">
        <f>AA303*地域経済性分析・初期条件!$O$70</f>
        <v>0</v>
      </c>
      <c r="AB315" s="507">
        <f>AB303*地域経済性分析・初期条件!$O$70</f>
        <v>0</v>
      </c>
      <c r="AC315" s="507">
        <f>AC303*地域経済性分析・初期条件!$O$70</f>
        <v>0</v>
      </c>
      <c r="AD315" s="507">
        <f>AD303*地域経済性分析・初期条件!$O$70</f>
        <v>0</v>
      </c>
      <c r="AE315" s="507">
        <f>AE303*地域経済性分析・初期条件!$O$70</f>
        <v>0</v>
      </c>
      <c r="AF315" s="507">
        <f>AF303*地域経済性分析・初期条件!$O$70</f>
        <v>0</v>
      </c>
      <c r="AG315" s="507">
        <f>AG303*地域経済性分析・初期条件!$O$70</f>
        <v>0</v>
      </c>
      <c r="AH315" s="507">
        <f>AH303*地域経済性分析・初期条件!$O$70</f>
        <v>0</v>
      </c>
      <c r="AI315" s="548">
        <f>SUM(D315:N315)</f>
        <v>0</v>
      </c>
      <c r="AJ315" s="548">
        <f t="shared" si="167"/>
        <v>0</v>
      </c>
      <c r="AK315" s="510">
        <f t="shared" si="168"/>
        <v>0</v>
      </c>
    </row>
    <row r="316" spans="1:37" ht="11.5" x14ac:dyDescent="0.25">
      <c r="A316" s="502">
        <f>地域経済性分析・初期条件!$G$71</f>
        <v>0</v>
      </c>
      <c r="C316" s="465"/>
      <c r="D316" s="507"/>
      <c r="E316" s="507"/>
      <c r="F316" s="478"/>
      <c r="G316" s="478"/>
      <c r="H316" s="478"/>
      <c r="I316" s="478"/>
      <c r="J316" s="478"/>
      <c r="K316" s="478"/>
      <c r="L316" s="478"/>
      <c r="M316" s="478"/>
      <c r="N316" s="478"/>
      <c r="O316" s="478"/>
      <c r="P316" s="478"/>
      <c r="Q316" s="478"/>
      <c r="R316" s="478"/>
      <c r="S316" s="478"/>
      <c r="T316" s="478"/>
      <c r="U316" s="478"/>
      <c r="V316" s="478"/>
      <c r="W316" s="478"/>
      <c r="X316" s="478"/>
      <c r="Y316" s="478"/>
      <c r="Z316" s="478"/>
      <c r="AA316" s="478"/>
      <c r="AB316" s="478"/>
      <c r="AC316" s="478"/>
      <c r="AD316" s="478"/>
      <c r="AE316" s="478"/>
      <c r="AF316" s="478"/>
      <c r="AG316" s="478"/>
      <c r="AH316" s="478"/>
      <c r="AI316" s="548"/>
      <c r="AJ316" s="548"/>
      <c r="AK316" s="510"/>
    </row>
    <row r="317" spans="1:37" ht="11.5" x14ac:dyDescent="0.25">
      <c r="A317" s="546" t="str">
        <f>A316&amp;B317</f>
        <v>0売上（税別）</v>
      </c>
      <c r="B317" s="452" t="s">
        <v>1047</v>
      </c>
      <c r="C317" s="464" t="s">
        <v>37</v>
      </c>
      <c r="D317" s="507">
        <f>D287*地域経済性分析・初期条件!$F$71</f>
        <v>0</v>
      </c>
      <c r="E317" s="507">
        <f>E287*地域経済性分析・初期条件!$F$71</f>
        <v>0</v>
      </c>
      <c r="F317" s="507">
        <f>F287*地域経済性分析・初期条件!$F$71</f>
        <v>0</v>
      </c>
      <c r="G317" s="507">
        <f>G287*地域経済性分析・初期条件!$F$71</f>
        <v>0</v>
      </c>
      <c r="H317" s="507">
        <f>H287*地域経済性分析・初期条件!$F$71</f>
        <v>0</v>
      </c>
      <c r="I317" s="507">
        <f>I287*地域経済性分析・初期条件!$F$71</f>
        <v>0</v>
      </c>
      <c r="J317" s="507">
        <f>J287*地域経済性分析・初期条件!$F$71</f>
        <v>0</v>
      </c>
      <c r="K317" s="507">
        <f>K287*地域経済性分析・初期条件!$F$71</f>
        <v>0</v>
      </c>
      <c r="L317" s="507">
        <f>L287*地域経済性分析・初期条件!$F$71</f>
        <v>0</v>
      </c>
      <c r="M317" s="507">
        <f>M287*地域経済性分析・初期条件!$F$71</f>
        <v>0</v>
      </c>
      <c r="N317" s="507">
        <f>N287*地域経済性分析・初期条件!$F$71</f>
        <v>0</v>
      </c>
      <c r="O317" s="507">
        <f>O287*地域経済性分析・初期条件!$F$71</f>
        <v>0</v>
      </c>
      <c r="P317" s="507">
        <f>P287*地域経済性分析・初期条件!$F$71</f>
        <v>0</v>
      </c>
      <c r="Q317" s="507">
        <f>Q287*地域経済性分析・初期条件!$F$71</f>
        <v>0</v>
      </c>
      <c r="R317" s="507">
        <f>R287*地域経済性分析・初期条件!$F$71</f>
        <v>0</v>
      </c>
      <c r="S317" s="507">
        <f>S287*地域経済性分析・初期条件!$F$71</f>
        <v>0</v>
      </c>
      <c r="T317" s="507">
        <f>T287*地域経済性分析・初期条件!$F$71</f>
        <v>0</v>
      </c>
      <c r="U317" s="507">
        <f>U287*地域経済性分析・初期条件!$F$71</f>
        <v>0</v>
      </c>
      <c r="V317" s="507">
        <f>V287*地域経済性分析・初期条件!$F$71</f>
        <v>0</v>
      </c>
      <c r="W317" s="507">
        <f>W287*地域経済性分析・初期条件!$F$71</f>
        <v>0</v>
      </c>
      <c r="X317" s="507">
        <f>X287*地域経済性分析・初期条件!$F$71</f>
        <v>0</v>
      </c>
      <c r="Y317" s="507">
        <f>Y287*地域経済性分析・初期条件!$F$71</f>
        <v>0</v>
      </c>
      <c r="Z317" s="507">
        <f>Z287*地域経済性分析・初期条件!$F$71</f>
        <v>0</v>
      </c>
      <c r="AA317" s="507">
        <f>AA287*地域経済性分析・初期条件!$F$71</f>
        <v>0</v>
      </c>
      <c r="AB317" s="507">
        <f>AB287*地域経済性分析・初期条件!$F$71</f>
        <v>0</v>
      </c>
      <c r="AC317" s="507">
        <f>AC287*地域経済性分析・初期条件!$F$71</f>
        <v>0</v>
      </c>
      <c r="AD317" s="507">
        <f>AD287*地域経済性分析・初期条件!$F$71</f>
        <v>0</v>
      </c>
      <c r="AE317" s="507">
        <f>AE287*地域経済性分析・初期条件!$F$71</f>
        <v>0</v>
      </c>
      <c r="AF317" s="507">
        <f>AF287*地域経済性分析・初期条件!$F$71</f>
        <v>0</v>
      </c>
      <c r="AG317" s="507">
        <f>AG287*地域経済性分析・初期条件!$F$71</f>
        <v>0</v>
      </c>
      <c r="AH317" s="507">
        <f>AH287*地域経済性分析・初期条件!$F$71</f>
        <v>0</v>
      </c>
      <c r="AI317" s="548">
        <f t="shared" ref="AI317:AI325" si="169">SUM(D317:N317)</f>
        <v>0</v>
      </c>
      <c r="AJ317" s="548">
        <f>SUM(D317:X317)</f>
        <v>0</v>
      </c>
      <c r="AK317" s="510">
        <f>SUM(D317:AH317)</f>
        <v>0</v>
      </c>
    </row>
    <row r="318" spans="1:37" ht="11.5" x14ac:dyDescent="0.25">
      <c r="A318" s="546" t="str">
        <f>A316&amp;B318</f>
        <v>0消費税（都道府県）</v>
      </c>
      <c r="B318" s="452" t="s">
        <v>263</v>
      </c>
      <c r="C318" s="464" t="s">
        <v>37</v>
      </c>
      <c r="D318" s="507">
        <f>D317*波及効果シート!$D$72</f>
        <v>0</v>
      </c>
      <c r="E318" s="507">
        <f>E317*波及効果シート!$D$72</f>
        <v>0</v>
      </c>
      <c r="F318" s="507">
        <f>F317*波及効果シート!$D$72</f>
        <v>0</v>
      </c>
      <c r="G318" s="507">
        <f>G317*波及効果シート!$D$72</f>
        <v>0</v>
      </c>
      <c r="H318" s="507">
        <f>H317*波及効果シート!$D$72</f>
        <v>0</v>
      </c>
      <c r="I318" s="507">
        <f>I317*波及効果シート!$D$72</f>
        <v>0</v>
      </c>
      <c r="J318" s="507">
        <f>J317*波及効果シート!$D$72</f>
        <v>0</v>
      </c>
      <c r="K318" s="507">
        <f>K317*波及効果シート!$D$72</f>
        <v>0</v>
      </c>
      <c r="L318" s="507">
        <f>L317*波及効果シート!$D$72</f>
        <v>0</v>
      </c>
      <c r="M318" s="507">
        <f>M317*波及効果シート!$D$72</f>
        <v>0</v>
      </c>
      <c r="N318" s="507">
        <f>N317*波及効果シート!$D$72</f>
        <v>0</v>
      </c>
      <c r="O318" s="507">
        <f>O317*波及効果シート!$D$72</f>
        <v>0</v>
      </c>
      <c r="P318" s="507">
        <f>P317*波及効果シート!$D$72</f>
        <v>0</v>
      </c>
      <c r="Q318" s="507">
        <f>Q317*波及効果シート!$D$72</f>
        <v>0</v>
      </c>
      <c r="R318" s="507">
        <f>R317*波及効果シート!$D$72</f>
        <v>0</v>
      </c>
      <c r="S318" s="507">
        <f>S317*波及効果シート!$D$72</f>
        <v>0</v>
      </c>
      <c r="T318" s="507">
        <f>T317*波及効果シート!$D$72</f>
        <v>0</v>
      </c>
      <c r="U318" s="507">
        <f>U317*波及効果シート!$D$72</f>
        <v>0</v>
      </c>
      <c r="V318" s="507">
        <f>V317*波及効果シート!$D$72</f>
        <v>0</v>
      </c>
      <c r="W318" s="507">
        <f>W317*波及効果シート!$D$72</f>
        <v>0</v>
      </c>
      <c r="X318" s="507">
        <f>X317*波及効果シート!$D$72</f>
        <v>0</v>
      </c>
      <c r="Y318" s="507">
        <f>Y317*波及効果シート!$D$72</f>
        <v>0</v>
      </c>
      <c r="Z318" s="507">
        <f>Z317*波及効果シート!$D$72</f>
        <v>0</v>
      </c>
      <c r="AA318" s="507">
        <f>AA317*波及効果シート!$D$72</f>
        <v>0</v>
      </c>
      <c r="AB318" s="507">
        <f>AB317*波及効果シート!$D$72</f>
        <v>0</v>
      </c>
      <c r="AC318" s="507">
        <f>AC317*波及効果シート!$D$72</f>
        <v>0</v>
      </c>
      <c r="AD318" s="507">
        <f>AD317*波及効果シート!$D$72</f>
        <v>0</v>
      </c>
      <c r="AE318" s="507">
        <f>AE317*波及効果シート!$D$72</f>
        <v>0</v>
      </c>
      <c r="AF318" s="507">
        <f>AF317*波及効果シート!$D$72</f>
        <v>0</v>
      </c>
      <c r="AG318" s="507">
        <f>AG317*波及効果シート!$D$72</f>
        <v>0</v>
      </c>
      <c r="AH318" s="507">
        <f>AH317*波及効果シート!$D$72</f>
        <v>0</v>
      </c>
      <c r="AI318" s="548">
        <f t="shared" si="169"/>
        <v>0</v>
      </c>
      <c r="AJ318" s="548">
        <f>SUM(D318:X318)</f>
        <v>0</v>
      </c>
      <c r="AK318" s="510">
        <f>SUM(D318:AH318)</f>
        <v>0</v>
      </c>
    </row>
    <row r="319" spans="1:37" ht="11.5" x14ac:dyDescent="0.25">
      <c r="A319" s="546" t="str">
        <f>A316&amp;B319</f>
        <v>0消費税（市町村）</v>
      </c>
      <c r="B319" s="452" t="s">
        <v>1048</v>
      </c>
      <c r="C319" s="465" t="s">
        <v>37</v>
      </c>
      <c r="D319" s="507">
        <f>D317*波及効果シート!$D$74</f>
        <v>0</v>
      </c>
      <c r="E319" s="507">
        <f>E317*波及効果シート!$D$74</f>
        <v>0</v>
      </c>
      <c r="F319" s="507">
        <f>F317*波及効果シート!$D$74</f>
        <v>0</v>
      </c>
      <c r="G319" s="507">
        <f>G317*波及効果シート!$D$74</f>
        <v>0</v>
      </c>
      <c r="H319" s="507">
        <f>H317*波及効果シート!$D$74</f>
        <v>0</v>
      </c>
      <c r="I319" s="507">
        <f>I317*波及効果シート!$D$74</f>
        <v>0</v>
      </c>
      <c r="J319" s="507">
        <f>J317*波及効果シート!$D$74</f>
        <v>0</v>
      </c>
      <c r="K319" s="507">
        <f>K317*波及効果シート!$D$74</f>
        <v>0</v>
      </c>
      <c r="L319" s="507">
        <f>L317*波及効果シート!$D$74</f>
        <v>0</v>
      </c>
      <c r="M319" s="507">
        <f>M317*波及効果シート!$D$74</f>
        <v>0</v>
      </c>
      <c r="N319" s="507">
        <f>N317*波及効果シート!$D$74</f>
        <v>0</v>
      </c>
      <c r="O319" s="507">
        <f>O317*波及効果シート!$D$74</f>
        <v>0</v>
      </c>
      <c r="P319" s="507">
        <f>P317*波及効果シート!$D$74</f>
        <v>0</v>
      </c>
      <c r="Q319" s="507">
        <f>Q317*波及効果シート!$D$74</f>
        <v>0</v>
      </c>
      <c r="R319" s="507">
        <f>R317*波及効果シート!$D$74</f>
        <v>0</v>
      </c>
      <c r="S319" s="507">
        <f>S317*波及効果シート!$D$74</f>
        <v>0</v>
      </c>
      <c r="T319" s="507">
        <f>T317*波及効果シート!$D$74</f>
        <v>0</v>
      </c>
      <c r="U319" s="507">
        <f>U317*波及効果シート!$D$74</f>
        <v>0</v>
      </c>
      <c r="V319" s="507">
        <f>V317*波及効果シート!$D$74</f>
        <v>0</v>
      </c>
      <c r="W319" s="507">
        <f>W317*波及効果シート!$D$74</f>
        <v>0</v>
      </c>
      <c r="X319" s="507">
        <f>X317*波及効果シート!$D$74</f>
        <v>0</v>
      </c>
      <c r="Y319" s="507">
        <f>Y317*波及効果シート!$D$74</f>
        <v>0</v>
      </c>
      <c r="Z319" s="507">
        <f>Z317*波及効果シート!$D$74</f>
        <v>0</v>
      </c>
      <c r="AA319" s="507">
        <f>AA317*波及効果シート!$D$74</f>
        <v>0</v>
      </c>
      <c r="AB319" s="507">
        <f>AB317*波及効果シート!$D$74</f>
        <v>0</v>
      </c>
      <c r="AC319" s="507">
        <f>AC317*波及効果シート!$D$74</f>
        <v>0</v>
      </c>
      <c r="AD319" s="507">
        <f>AD317*波及効果シート!$D$74</f>
        <v>0</v>
      </c>
      <c r="AE319" s="507">
        <f>AE317*波及効果シート!$D$74</f>
        <v>0</v>
      </c>
      <c r="AF319" s="507">
        <f>AF317*波及効果シート!$D$74</f>
        <v>0</v>
      </c>
      <c r="AG319" s="507">
        <f>AG317*波及効果シート!$D$74</f>
        <v>0</v>
      </c>
      <c r="AH319" s="507">
        <f>AH317*波及効果シート!$D$74</f>
        <v>0</v>
      </c>
      <c r="AI319" s="548">
        <f t="shared" si="169"/>
        <v>0</v>
      </c>
      <c r="AJ319" s="548">
        <f>SUM(D319:X319)</f>
        <v>0</v>
      </c>
      <c r="AK319" s="510">
        <f>SUM(D319:AH319)</f>
        <v>0</v>
      </c>
    </row>
    <row r="320" spans="1:37" ht="11.5" x14ac:dyDescent="0.25">
      <c r="A320" s="546" t="str">
        <f>A316&amp;B320</f>
        <v>0所得税（国税）</v>
      </c>
      <c r="B320" s="452" t="s">
        <v>356</v>
      </c>
      <c r="C320" s="465" t="s">
        <v>37</v>
      </c>
      <c r="D320" s="507">
        <f>D317*地域経済性分析・初期条件!$P$71</f>
        <v>0</v>
      </c>
      <c r="E320" s="507">
        <f>E317*地域経済性分析・初期条件!$P$71</f>
        <v>0</v>
      </c>
      <c r="F320" s="507">
        <f>F317*地域経済性分析・初期条件!$P$71</f>
        <v>0</v>
      </c>
      <c r="G320" s="507">
        <f>G317*地域経済性分析・初期条件!$P$71</f>
        <v>0</v>
      </c>
      <c r="H320" s="507">
        <f>H317*地域経済性分析・初期条件!$P$71</f>
        <v>0</v>
      </c>
      <c r="I320" s="507">
        <f>I317*地域経済性分析・初期条件!$P$71</f>
        <v>0</v>
      </c>
      <c r="J320" s="507">
        <f>J317*地域経済性分析・初期条件!$P$71</f>
        <v>0</v>
      </c>
      <c r="K320" s="507">
        <f>K317*地域経済性分析・初期条件!$P$71</f>
        <v>0</v>
      </c>
      <c r="L320" s="507">
        <f>L317*地域経済性分析・初期条件!$P$71</f>
        <v>0</v>
      </c>
      <c r="M320" s="507">
        <f>M317*地域経済性分析・初期条件!$P$71</f>
        <v>0</v>
      </c>
      <c r="N320" s="507">
        <f>N317*地域経済性分析・初期条件!$P$71</f>
        <v>0</v>
      </c>
      <c r="O320" s="507">
        <f>O317*地域経済性分析・初期条件!$P$71</f>
        <v>0</v>
      </c>
      <c r="P320" s="507">
        <f>P317*地域経済性分析・初期条件!$P$71</f>
        <v>0</v>
      </c>
      <c r="Q320" s="507">
        <f>Q317*地域経済性分析・初期条件!$P$71</f>
        <v>0</v>
      </c>
      <c r="R320" s="507">
        <f>R317*地域経済性分析・初期条件!$P$71</f>
        <v>0</v>
      </c>
      <c r="S320" s="507">
        <f>S317*地域経済性分析・初期条件!$P$71</f>
        <v>0</v>
      </c>
      <c r="T320" s="507">
        <f>T317*地域経済性分析・初期条件!$P$71</f>
        <v>0</v>
      </c>
      <c r="U320" s="507">
        <f>U317*地域経済性分析・初期条件!$P$71</f>
        <v>0</v>
      </c>
      <c r="V320" s="507">
        <f>V317*地域経済性分析・初期条件!$P$71</f>
        <v>0</v>
      </c>
      <c r="W320" s="507">
        <f>W317*地域経済性分析・初期条件!$P$71</f>
        <v>0</v>
      </c>
      <c r="X320" s="507">
        <f>X317*地域経済性分析・初期条件!$P$71</f>
        <v>0</v>
      </c>
      <c r="Y320" s="507">
        <f>Y317*地域経済性分析・初期条件!$P$71</f>
        <v>0</v>
      </c>
      <c r="Z320" s="507">
        <f>Z317*地域経済性分析・初期条件!$P$71</f>
        <v>0</v>
      </c>
      <c r="AA320" s="507">
        <f>AA317*地域経済性分析・初期条件!$P$71</f>
        <v>0</v>
      </c>
      <c r="AB320" s="507">
        <f>AB317*地域経済性分析・初期条件!$P$71</f>
        <v>0</v>
      </c>
      <c r="AC320" s="507">
        <f>AC317*地域経済性分析・初期条件!$P$71</f>
        <v>0</v>
      </c>
      <c r="AD320" s="507">
        <f>AD317*地域経済性分析・初期条件!$P$71</f>
        <v>0</v>
      </c>
      <c r="AE320" s="507">
        <f>AE317*地域経済性分析・初期条件!$P$71</f>
        <v>0</v>
      </c>
      <c r="AF320" s="507">
        <f>AF317*地域経済性分析・初期条件!$P$71</f>
        <v>0</v>
      </c>
      <c r="AG320" s="507">
        <f>AG317*地域経済性分析・初期条件!$P$71</f>
        <v>0</v>
      </c>
      <c r="AH320" s="507">
        <f>AH317*地域経済性分析・初期条件!$P$71</f>
        <v>0</v>
      </c>
      <c r="AI320" s="548">
        <f t="shared" si="169"/>
        <v>0</v>
      </c>
      <c r="AJ320" s="548">
        <f>SUM(D320:X320)</f>
        <v>0</v>
      </c>
      <c r="AK320" s="510">
        <f>SUM(D320:AH320)</f>
        <v>0</v>
      </c>
    </row>
    <row r="321" spans="1:37" ht="11.5" x14ac:dyDescent="0.25">
      <c r="A321" s="546" t="str">
        <f>A316&amp;B321</f>
        <v>0法人税（国税）</v>
      </c>
      <c r="B321" s="452" t="s">
        <v>355</v>
      </c>
      <c r="C321" s="465" t="s">
        <v>37</v>
      </c>
      <c r="D321" s="507">
        <f>D317*地域経済性分析・初期条件!$Q$71</f>
        <v>0</v>
      </c>
      <c r="E321" s="507">
        <f>E317*地域経済性分析・初期条件!$Q$71</f>
        <v>0</v>
      </c>
      <c r="F321" s="507">
        <f>F317*地域経済性分析・初期条件!$Q$71</f>
        <v>0</v>
      </c>
      <c r="G321" s="507">
        <f>G317*地域経済性分析・初期条件!$Q$71</f>
        <v>0</v>
      </c>
      <c r="H321" s="507">
        <f>H317*地域経済性分析・初期条件!$Q$71</f>
        <v>0</v>
      </c>
      <c r="I321" s="507">
        <f>I317*地域経済性分析・初期条件!$Q$71</f>
        <v>0</v>
      </c>
      <c r="J321" s="507">
        <f>J317*地域経済性分析・初期条件!$Q$71</f>
        <v>0</v>
      </c>
      <c r="K321" s="507">
        <f>K317*地域経済性分析・初期条件!$Q$71</f>
        <v>0</v>
      </c>
      <c r="L321" s="507">
        <f>L317*地域経済性分析・初期条件!$Q$71</f>
        <v>0</v>
      </c>
      <c r="M321" s="507">
        <f>M317*地域経済性分析・初期条件!$Q$71</f>
        <v>0</v>
      </c>
      <c r="N321" s="507">
        <f>N317*地域経済性分析・初期条件!$Q$71</f>
        <v>0</v>
      </c>
      <c r="O321" s="507">
        <f>O317*地域経済性分析・初期条件!$Q$71</f>
        <v>0</v>
      </c>
      <c r="P321" s="507">
        <f>P317*地域経済性分析・初期条件!$Q$71</f>
        <v>0</v>
      </c>
      <c r="Q321" s="507">
        <f>Q317*地域経済性分析・初期条件!$Q$71</f>
        <v>0</v>
      </c>
      <c r="R321" s="507">
        <f>R317*地域経済性分析・初期条件!$Q$71</f>
        <v>0</v>
      </c>
      <c r="S321" s="507">
        <f>S317*地域経済性分析・初期条件!$Q$71</f>
        <v>0</v>
      </c>
      <c r="T321" s="507">
        <f>T317*地域経済性分析・初期条件!$Q$71</f>
        <v>0</v>
      </c>
      <c r="U321" s="507">
        <f>U317*地域経済性分析・初期条件!$Q$71</f>
        <v>0</v>
      </c>
      <c r="V321" s="507">
        <f>V317*地域経済性分析・初期条件!$Q$71</f>
        <v>0</v>
      </c>
      <c r="W321" s="507">
        <f>W317*地域経済性分析・初期条件!$Q$71</f>
        <v>0</v>
      </c>
      <c r="X321" s="507">
        <f>X317*地域経済性分析・初期条件!$Q$71</f>
        <v>0</v>
      </c>
      <c r="Y321" s="507">
        <f>Y317*地域経済性分析・初期条件!$Q$71</f>
        <v>0</v>
      </c>
      <c r="Z321" s="507">
        <f>Z317*地域経済性分析・初期条件!$Q$71</f>
        <v>0</v>
      </c>
      <c r="AA321" s="507">
        <f>AA317*地域経済性分析・初期条件!$Q$71</f>
        <v>0</v>
      </c>
      <c r="AB321" s="507">
        <f>AB317*地域経済性分析・初期条件!$Q$71</f>
        <v>0</v>
      </c>
      <c r="AC321" s="507">
        <f>AC317*地域経済性分析・初期条件!$Q$71</f>
        <v>0</v>
      </c>
      <c r="AD321" s="507">
        <f>AD317*地域経済性分析・初期条件!$Q$71</f>
        <v>0</v>
      </c>
      <c r="AE321" s="507">
        <f>AE317*地域経済性分析・初期条件!$Q$71</f>
        <v>0</v>
      </c>
      <c r="AF321" s="507">
        <f>AF317*地域経済性分析・初期条件!$Q$71</f>
        <v>0</v>
      </c>
      <c r="AG321" s="507">
        <f>AG317*地域経済性分析・初期条件!$Q$71</f>
        <v>0</v>
      </c>
      <c r="AH321" s="507">
        <f>AH317*地域経済性分析・初期条件!$Q$71</f>
        <v>0</v>
      </c>
      <c r="AI321" s="548">
        <f t="shared" si="169"/>
        <v>0</v>
      </c>
      <c r="AJ321" s="548">
        <f>SUM(D321:X321)</f>
        <v>0</v>
      </c>
      <c r="AK321" s="510">
        <f>SUM(D321:AH321)</f>
        <v>0</v>
      </c>
    </row>
    <row r="322" spans="1:37" ht="11.5" x14ac:dyDescent="0.25">
      <c r="A322" s="546" t="str">
        <f>A316&amp;B322</f>
        <v>0従業員の可処分所得（一次）</v>
      </c>
      <c r="B322" s="452" t="s">
        <v>339</v>
      </c>
      <c r="C322" s="464" t="s">
        <v>37</v>
      </c>
      <c r="D322" s="507">
        <f>D317*地域経済性分析・初期条件!$H$71</f>
        <v>0</v>
      </c>
      <c r="E322" s="507">
        <f>E317*地域経済性分析・初期条件!$H$71</f>
        <v>0</v>
      </c>
      <c r="F322" s="478">
        <f>F317*地域経済性分析・初期条件!$H$71</f>
        <v>0</v>
      </c>
      <c r="G322" s="478">
        <f>G317*地域経済性分析・初期条件!$H$71</f>
        <v>0</v>
      </c>
      <c r="H322" s="478">
        <f>H317*地域経済性分析・初期条件!$H$71</f>
        <v>0</v>
      </c>
      <c r="I322" s="478">
        <f>I317*地域経済性分析・初期条件!$H$71</f>
        <v>0</v>
      </c>
      <c r="J322" s="478">
        <f>J317*地域経済性分析・初期条件!$H$71</f>
        <v>0</v>
      </c>
      <c r="K322" s="478">
        <f>K317*地域経済性分析・初期条件!$H$71</f>
        <v>0</v>
      </c>
      <c r="L322" s="478">
        <f>L317*地域経済性分析・初期条件!$H$71</f>
        <v>0</v>
      </c>
      <c r="M322" s="478">
        <f>M317*地域経済性分析・初期条件!$H$71</f>
        <v>0</v>
      </c>
      <c r="N322" s="478">
        <f>N317*地域経済性分析・初期条件!$H$71</f>
        <v>0</v>
      </c>
      <c r="O322" s="478">
        <f>O317*地域経済性分析・初期条件!$H$71</f>
        <v>0</v>
      </c>
      <c r="P322" s="478">
        <f>P317*地域経済性分析・初期条件!$H$71</f>
        <v>0</v>
      </c>
      <c r="Q322" s="478">
        <f>Q317*地域経済性分析・初期条件!$H$71</f>
        <v>0</v>
      </c>
      <c r="R322" s="478">
        <f>R317*地域経済性分析・初期条件!$H$71</f>
        <v>0</v>
      </c>
      <c r="S322" s="478">
        <f>S317*地域経済性分析・初期条件!$H$71</f>
        <v>0</v>
      </c>
      <c r="T322" s="478">
        <f>T317*地域経済性分析・初期条件!$H$71</f>
        <v>0</v>
      </c>
      <c r="U322" s="478">
        <f>U317*地域経済性分析・初期条件!$H$71</f>
        <v>0</v>
      </c>
      <c r="V322" s="478">
        <f>V317*地域経済性分析・初期条件!$H$71</f>
        <v>0</v>
      </c>
      <c r="W322" s="478">
        <f>W317*地域経済性分析・初期条件!$H$71</f>
        <v>0</v>
      </c>
      <c r="X322" s="478">
        <f>X317*地域経済性分析・初期条件!$H$71</f>
        <v>0</v>
      </c>
      <c r="Y322" s="478">
        <f>Y317*地域経済性分析・初期条件!$H$71</f>
        <v>0</v>
      </c>
      <c r="Z322" s="478">
        <f>Z317*地域経済性分析・初期条件!$H$71</f>
        <v>0</v>
      </c>
      <c r="AA322" s="478">
        <f>AA317*地域経済性分析・初期条件!$H$71</f>
        <v>0</v>
      </c>
      <c r="AB322" s="478">
        <f>AB317*地域経済性分析・初期条件!$H$71</f>
        <v>0</v>
      </c>
      <c r="AC322" s="478">
        <f>AC317*地域経済性分析・初期条件!$H$71</f>
        <v>0</v>
      </c>
      <c r="AD322" s="478">
        <f>AD317*地域経済性分析・初期条件!$H$71</f>
        <v>0</v>
      </c>
      <c r="AE322" s="478">
        <f>AE317*地域経済性分析・初期条件!$H$71</f>
        <v>0</v>
      </c>
      <c r="AF322" s="478">
        <f>AF317*地域経済性分析・初期条件!$H$71</f>
        <v>0</v>
      </c>
      <c r="AG322" s="478">
        <f>AG317*地域経済性分析・初期条件!$H$71</f>
        <v>0</v>
      </c>
      <c r="AH322" s="478">
        <f>AH317*地域経済性分析・初期条件!$H$71</f>
        <v>0</v>
      </c>
      <c r="AI322" s="548">
        <f t="shared" si="169"/>
        <v>0</v>
      </c>
      <c r="AJ322" s="548">
        <f t="shared" ref="AJ322:AJ329" si="170">SUM(D322:X322)</f>
        <v>0</v>
      </c>
      <c r="AK322" s="510">
        <f t="shared" ref="AK322:AK329" si="171">SUM(D322:AH322)</f>
        <v>0</v>
      </c>
    </row>
    <row r="323" spans="1:37" ht="11.5" x14ac:dyDescent="0.25">
      <c r="A323" s="546" t="str">
        <f>A316&amp;B323</f>
        <v>0企業の税引後利益（一次）</v>
      </c>
      <c r="B323" s="452" t="s">
        <v>340</v>
      </c>
      <c r="C323" s="464" t="s">
        <v>37</v>
      </c>
      <c r="D323" s="507">
        <f>D317*地域経済性分析・初期条件!$I$71</f>
        <v>0</v>
      </c>
      <c r="E323" s="507">
        <f>E317*地域経済性分析・初期条件!$I$71</f>
        <v>0</v>
      </c>
      <c r="F323" s="478">
        <f>F317*地域経済性分析・初期条件!$I$71</f>
        <v>0</v>
      </c>
      <c r="G323" s="478">
        <f>G317*地域経済性分析・初期条件!$I$71</f>
        <v>0</v>
      </c>
      <c r="H323" s="478">
        <f>H317*地域経済性分析・初期条件!$I$71</f>
        <v>0</v>
      </c>
      <c r="I323" s="478">
        <f>I317*地域経済性分析・初期条件!$I$71</f>
        <v>0</v>
      </c>
      <c r="J323" s="478">
        <f>J317*地域経済性分析・初期条件!$I$71</f>
        <v>0</v>
      </c>
      <c r="K323" s="478">
        <f>K317*地域経済性分析・初期条件!$I$71</f>
        <v>0</v>
      </c>
      <c r="L323" s="478">
        <f>L317*地域経済性分析・初期条件!$I$71</f>
        <v>0</v>
      </c>
      <c r="M323" s="478">
        <f>M317*地域経済性分析・初期条件!$I$71</f>
        <v>0</v>
      </c>
      <c r="N323" s="478">
        <f>N317*地域経済性分析・初期条件!$I$71</f>
        <v>0</v>
      </c>
      <c r="O323" s="478">
        <f>O317*地域経済性分析・初期条件!$I$71</f>
        <v>0</v>
      </c>
      <c r="P323" s="478">
        <f>P317*地域経済性分析・初期条件!$I$71</f>
        <v>0</v>
      </c>
      <c r="Q323" s="478">
        <f>Q317*地域経済性分析・初期条件!$I$71</f>
        <v>0</v>
      </c>
      <c r="R323" s="478">
        <f>R317*地域経済性分析・初期条件!$I$71</f>
        <v>0</v>
      </c>
      <c r="S323" s="478">
        <f>S317*地域経済性分析・初期条件!$I$71</f>
        <v>0</v>
      </c>
      <c r="T323" s="478">
        <f>T317*地域経済性分析・初期条件!$I$71</f>
        <v>0</v>
      </c>
      <c r="U323" s="478">
        <f>U317*地域経済性分析・初期条件!$I$71</f>
        <v>0</v>
      </c>
      <c r="V323" s="478">
        <f>V317*地域経済性分析・初期条件!$I$71</f>
        <v>0</v>
      </c>
      <c r="W323" s="478">
        <f>W317*地域経済性分析・初期条件!$I$71</f>
        <v>0</v>
      </c>
      <c r="X323" s="478">
        <f>X317*地域経済性分析・初期条件!$I$71</f>
        <v>0</v>
      </c>
      <c r="Y323" s="478">
        <f>Y317*地域経済性分析・初期条件!$I$71</f>
        <v>0</v>
      </c>
      <c r="Z323" s="478">
        <f>Z317*地域経済性分析・初期条件!$I$71</f>
        <v>0</v>
      </c>
      <c r="AA323" s="478">
        <f>AA317*地域経済性分析・初期条件!$I$71</f>
        <v>0</v>
      </c>
      <c r="AB323" s="478">
        <f>AB317*地域経済性分析・初期条件!$I$71</f>
        <v>0</v>
      </c>
      <c r="AC323" s="478">
        <f>AC317*地域経済性分析・初期条件!$I$71</f>
        <v>0</v>
      </c>
      <c r="AD323" s="478">
        <f>AD317*地域経済性分析・初期条件!$I$71</f>
        <v>0</v>
      </c>
      <c r="AE323" s="478">
        <f>AE317*地域経済性分析・初期条件!$I$71</f>
        <v>0</v>
      </c>
      <c r="AF323" s="478">
        <f>AF317*地域経済性分析・初期条件!$I$71</f>
        <v>0</v>
      </c>
      <c r="AG323" s="478">
        <f>AG317*地域経済性分析・初期条件!$I$71</f>
        <v>0</v>
      </c>
      <c r="AH323" s="478">
        <f>AH317*地域経済性分析・初期条件!$I$71</f>
        <v>0</v>
      </c>
      <c r="AI323" s="548">
        <f t="shared" si="169"/>
        <v>0</v>
      </c>
      <c r="AJ323" s="548">
        <f t="shared" si="170"/>
        <v>0</v>
      </c>
      <c r="AK323" s="510">
        <f t="shared" si="171"/>
        <v>0</v>
      </c>
    </row>
    <row r="324" spans="1:37" ht="11.5" x14ac:dyDescent="0.25">
      <c r="A324" s="546" t="str">
        <f>A316&amp;B324</f>
        <v>0都道府県税収（一次）</v>
      </c>
      <c r="B324" s="452" t="s">
        <v>341</v>
      </c>
      <c r="C324" s="464" t="s">
        <v>37</v>
      </c>
      <c r="D324" s="507">
        <f>D317*地域経済性分析・初期条件!$J$71</f>
        <v>0</v>
      </c>
      <c r="E324" s="507">
        <f>E317*地域経済性分析・初期条件!$J$71</f>
        <v>0</v>
      </c>
      <c r="F324" s="478">
        <f>F317*地域経済性分析・初期条件!$J$71</f>
        <v>0</v>
      </c>
      <c r="G324" s="478">
        <f>G317*地域経済性分析・初期条件!$J$71</f>
        <v>0</v>
      </c>
      <c r="H324" s="478">
        <f>H317*地域経済性分析・初期条件!$J$71</f>
        <v>0</v>
      </c>
      <c r="I324" s="478">
        <f>I317*地域経済性分析・初期条件!$J$71</f>
        <v>0</v>
      </c>
      <c r="J324" s="478">
        <f>J317*地域経済性分析・初期条件!$J$71</f>
        <v>0</v>
      </c>
      <c r="K324" s="478">
        <f>K317*地域経済性分析・初期条件!$J$71</f>
        <v>0</v>
      </c>
      <c r="L324" s="478">
        <f>L317*地域経済性分析・初期条件!$J$71</f>
        <v>0</v>
      </c>
      <c r="M324" s="478">
        <f>M317*地域経済性分析・初期条件!$J$71</f>
        <v>0</v>
      </c>
      <c r="N324" s="478">
        <f>N317*地域経済性分析・初期条件!$J$71</f>
        <v>0</v>
      </c>
      <c r="O324" s="478">
        <f>O317*地域経済性分析・初期条件!$J$71</f>
        <v>0</v>
      </c>
      <c r="P324" s="478">
        <f>P317*地域経済性分析・初期条件!$J$71</f>
        <v>0</v>
      </c>
      <c r="Q324" s="478">
        <f>Q317*地域経済性分析・初期条件!$J$71</f>
        <v>0</v>
      </c>
      <c r="R324" s="478">
        <f>R317*地域経済性分析・初期条件!$J$71</f>
        <v>0</v>
      </c>
      <c r="S324" s="478">
        <f>S317*地域経済性分析・初期条件!$J$71</f>
        <v>0</v>
      </c>
      <c r="T324" s="478">
        <f>T317*地域経済性分析・初期条件!$J$71</f>
        <v>0</v>
      </c>
      <c r="U324" s="478">
        <f>U317*地域経済性分析・初期条件!$J$71</f>
        <v>0</v>
      </c>
      <c r="V324" s="478">
        <f>V317*地域経済性分析・初期条件!$J$71</f>
        <v>0</v>
      </c>
      <c r="W324" s="478">
        <f>W317*地域経済性分析・初期条件!$J$71</f>
        <v>0</v>
      </c>
      <c r="X324" s="478">
        <f>X317*地域経済性分析・初期条件!$J$71</f>
        <v>0</v>
      </c>
      <c r="Y324" s="478">
        <f>Y317*地域経済性分析・初期条件!$J$71</f>
        <v>0</v>
      </c>
      <c r="Z324" s="478">
        <f>Z317*地域経済性分析・初期条件!$J$71</f>
        <v>0</v>
      </c>
      <c r="AA324" s="478">
        <f>AA317*地域経済性分析・初期条件!$J$71</f>
        <v>0</v>
      </c>
      <c r="AB324" s="478">
        <f>AB317*地域経済性分析・初期条件!$J$71</f>
        <v>0</v>
      </c>
      <c r="AC324" s="478">
        <f>AC317*地域経済性分析・初期条件!$J$71</f>
        <v>0</v>
      </c>
      <c r="AD324" s="478">
        <f>AD317*地域経済性分析・初期条件!$J$71</f>
        <v>0</v>
      </c>
      <c r="AE324" s="478">
        <f>AE317*地域経済性分析・初期条件!$J$71</f>
        <v>0</v>
      </c>
      <c r="AF324" s="478">
        <f>AF317*地域経済性分析・初期条件!$J$71</f>
        <v>0</v>
      </c>
      <c r="AG324" s="478">
        <f>AG317*地域経済性分析・初期条件!$J$71</f>
        <v>0</v>
      </c>
      <c r="AH324" s="478">
        <f>AH317*地域経済性分析・初期条件!$J$71</f>
        <v>0</v>
      </c>
      <c r="AI324" s="548">
        <f t="shared" si="169"/>
        <v>0</v>
      </c>
      <c r="AJ324" s="548">
        <f t="shared" si="170"/>
        <v>0</v>
      </c>
      <c r="AK324" s="510">
        <f t="shared" si="171"/>
        <v>0</v>
      </c>
    </row>
    <row r="325" spans="1:37" ht="11.5" x14ac:dyDescent="0.25">
      <c r="A325" s="546" t="str">
        <f>A316&amp;B325</f>
        <v>0市町村税収（一次）</v>
      </c>
      <c r="B325" s="452" t="s">
        <v>342</v>
      </c>
      <c r="C325" s="465" t="s">
        <v>37</v>
      </c>
      <c r="D325" s="507">
        <f>D317*地域経済性分析・初期条件!$K$71</f>
        <v>0</v>
      </c>
      <c r="E325" s="478">
        <f>E317*地域経済性分析・初期条件!$K$71</f>
        <v>0</v>
      </c>
      <c r="F325" s="478">
        <f>F317*地域経済性分析・初期条件!$K$71</f>
        <v>0</v>
      </c>
      <c r="G325" s="478">
        <f>G317*地域経済性分析・初期条件!$K$71</f>
        <v>0</v>
      </c>
      <c r="H325" s="478">
        <f>H317*地域経済性分析・初期条件!$K$71</f>
        <v>0</v>
      </c>
      <c r="I325" s="478">
        <f>I317*地域経済性分析・初期条件!$K$71</f>
        <v>0</v>
      </c>
      <c r="J325" s="478">
        <f>J317*地域経済性分析・初期条件!$K$71</f>
        <v>0</v>
      </c>
      <c r="K325" s="478">
        <f>K317*地域経済性分析・初期条件!$K$71</f>
        <v>0</v>
      </c>
      <c r="L325" s="478">
        <f>L317*地域経済性分析・初期条件!$K$71</f>
        <v>0</v>
      </c>
      <c r="M325" s="478">
        <f>M317*地域経済性分析・初期条件!$K$71</f>
        <v>0</v>
      </c>
      <c r="N325" s="478">
        <f>N317*地域経済性分析・初期条件!$K$71</f>
        <v>0</v>
      </c>
      <c r="O325" s="478">
        <f>O317*地域経済性分析・初期条件!$K$71</f>
        <v>0</v>
      </c>
      <c r="P325" s="478">
        <f>P317*地域経済性分析・初期条件!$K$71</f>
        <v>0</v>
      </c>
      <c r="Q325" s="478">
        <f>Q317*地域経済性分析・初期条件!$K$71</f>
        <v>0</v>
      </c>
      <c r="R325" s="478">
        <f>R317*地域経済性分析・初期条件!$K$71</f>
        <v>0</v>
      </c>
      <c r="S325" s="478">
        <f>S317*地域経済性分析・初期条件!$K$71</f>
        <v>0</v>
      </c>
      <c r="T325" s="478">
        <f>T317*地域経済性分析・初期条件!$K$71</f>
        <v>0</v>
      </c>
      <c r="U325" s="478">
        <f>U317*地域経済性分析・初期条件!$K$71</f>
        <v>0</v>
      </c>
      <c r="V325" s="478">
        <f>V317*地域経済性分析・初期条件!$K$71</f>
        <v>0</v>
      </c>
      <c r="W325" s="478">
        <f>W317*地域経済性分析・初期条件!$K$71</f>
        <v>0</v>
      </c>
      <c r="X325" s="478">
        <f>X317*地域経済性分析・初期条件!$K$71</f>
        <v>0</v>
      </c>
      <c r="Y325" s="478">
        <f>Y317*地域経済性分析・初期条件!$K$71</f>
        <v>0</v>
      </c>
      <c r="Z325" s="478">
        <f>Z317*地域経済性分析・初期条件!$K$71</f>
        <v>0</v>
      </c>
      <c r="AA325" s="478">
        <f>AA317*地域経済性分析・初期条件!$K$71</f>
        <v>0</v>
      </c>
      <c r="AB325" s="478">
        <f>AB317*地域経済性分析・初期条件!$K$71</f>
        <v>0</v>
      </c>
      <c r="AC325" s="478">
        <f>AC317*地域経済性分析・初期条件!$K$71</f>
        <v>0</v>
      </c>
      <c r="AD325" s="478">
        <f>AD317*地域経済性分析・初期条件!$K$71</f>
        <v>0</v>
      </c>
      <c r="AE325" s="478">
        <f>AE317*地域経済性分析・初期条件!$K$71</f>
        <v>0</v>
      </c>
      <c r="AF325" s="478">
        <f>AF317*地域経済性分析・初期条件!$K$71</f>
        <v>0</v>
      </c>
      <c r="AG325" s="478">
        <f>AG317*地域経済性分析・初期条件!$K$71</f>
        <v>0</v>
      </c>
      <c r="AH325" s="478">
        <f>AH317*地域経済性分析・初期条件!$K$71</f>
        <v>0</v>
      </c>
      <c r="AI325" s="548">
        <f t="shared" si="169"/>
        <v>0</v>
      </c>
      <c r="AJ325" s="548">
        <f t="shared" si="170"/>
        <v>0</v>
      </c>
      <c r="AK325" s="510">
        <f t="shared" si="171"/>
        <v>0</v>
      </c>
    </row>
    <row r="326" spans="1:37" ht="11.5" x14ac:dyDescent="0.25">
      <c r="A326" s="546" t="str">
        <f>A316&amp;B326</f>
        <v>0従業員の可処分所得（二次以降）</v>
      </c>
      <c r="B326" s="452" t="s">
        <v>344</v>
      </c>
      <c r="C326" s="465" t="s">
        <v>37</v>
      </c>
      <c r="D326" s="507">
        <f>D317*地域経済性分析・初期条件!$L$71</f>
        <v>0</v>
      </c>
      <c r="E326" s="478">
        <f>E317*地域経済性分析・初期条件!$L$71</f>
        <v>0</v>
      </c>
      <c r="F326" s="478">
        <f>F317*地域経済性分析・初期条件!$L$71</f>
        <v>0</v>
      </c>
      <c r="G326" s="478">
        <f>G317*地域経済性分析・初期条件!$L$71</f>
        <v>0</v>
      </c>
      <c r="H326" s="478">
        <f>H317*地域経済性分析・初期条件!$L$71</f>
        <v>0</v>
      </c>
      <c r="I326" s="478">
        <f>I317*地域経済性分析・初期条件!$L$71</f>
        <v>0</v>
      </c>
      <c r="J326" s="478">
        <f>J317*地域経済性分析・初期条件!$L$71</f>
        <v>0</v>
      </c>
      <c r="K326" s="478">
        <f>K317*地域経済性分析・初期条件!$L$71</f>
        <v>0</v>
      </c>
      <c r="L326" s="478">
        <f>L317*地域経済性分析・初期条件!$L$71</f>
        <v>0</v>
      </c>
      <c r="M326" s="478">
        <f>M317*地域経済性分析・初期条件!$L$71</f>
        <v>0</v>
      </c>
      <c r="N326" s="478">
        <f>N317*地域経済性分析・初期条件!$L$71</f>
        <v>0</v>
      </c>
      <c r="O326" s="478">
        <f>O317*地域経済性分析・初期条件!$L$71</f>
        <v>0</v>
      </c>
      <c r="P326" s="478">
        <f>P317*地域経済性分析・初期条件!$L$71</f>
        <v>0</v>
      </c>
      <c r="Q326" s="478">
        <f>Q317*地域経済性分析・初期条件!$L$71</f>
        <v>0</v>
      </c>
      <c r="R326" s="478">
        <f>R317*地域経済性分析・初期条件!$L$71</f>
        <v>0</v>
      </c>
      <c r="S326" s="478">
        <f>S317*地域経済性分析・初期条件!$L$71</f>
        <v>0</v>
      </c>
      <c r="T326" s="478">
        <f>T317*地域経済性分析・初期条件!$L$71</f>
        <v>0</v>
      </c>
      <c r="U326" s="478">
        <f>U317*地域経済性分析・初期条件!$L$71</f>
        <v>0</v>
      </c>
      <c r="V326" s="478">
        <f>V317*地域経済性分析・初期条件!$L$71</f>
        <v>0</v>
      </c>
      <c r="W326" s="478">
        <f>W317*地域経済性分析・初期条件!$L$71</f>
        <v>0</v>
      </c>
      <c r="X326" s="478">
        <f>X317*地域経済性分析・初期条件!$L$71</f>
        <v>0</v>
      </c>
      <c r="Y326" s="478">
        <f>Y317*地域経済性分析・初期条件!$L$71</f>
        <v>0</v>
      </c>
      <c r="Z326" s="478">
        <f>Z317*地域経済性分析・初期条件!$L$71</f>
        <v>0</v>
      </c>
      <c r="AA326" s="478">
        <f>AA317*地域経済性分析・初期条件!$L$71</f>
        <v>0</v>
      </c>
      <c r="AB326" s="478">
        <f>AB317*地域経済性分析・初期条件!$L$71</f>
        <v>0</v>
      </c>
      <c r="AC326" s="478">
        <f>AC317*地域経済性分析・初期条件!$L$71</f>
        <v>0</v>
      </c>
      <c r="AD326" s="478">
        <f>AD317*地域経済性分析・初期条件!$L$71</f>
        <v>0</v>
      </c>
      <c r="AE326" s="478">
        <f>AE317*地域経済性分析・初期条件!$L$71</f>
        <v>0</v>
      </c>
      <c r="AF326" s="478">
        <f>AF317*地域経済性分析・初期条件!$L$71</f>
        <v>0</v>
      </c>
      <c r="AG326" s="478">
        <f>AG317*地域経済性分析・初期条件!$L$71</f>
        <v>0</v>
      </c>
      <c r="AH326" s="478">
        <f>AH317*地域経済性分析・初期条件!$L$71</f>
        <v>0</v>
      </c>
      <c r="AI326" s="548">
        <f>SUM(D326:N326)</f>
        <v>0</v>
      </c>
      <c r="AJ326" s="548">
        <f t="shared" si="170"/>
        <v>0</v>
      </c>
      <c r="AK326" s="510">
        <f t="shared" si="171"/>
        <v>0</v>
      </c>
    </row>
    <row r="327" spans="1:37" ht="11.5" x14ac:dyDescent="0.25">
      <c r="A327" s="546" t="str">
        <f>A316&amp;B327</f>
        <v>0企業の税引後利益（二次以降）</v>
      </c>
      <c r="B327" s="452" t="s">
        <v>345</v>
      </c>
      <c r="C327" s="465" t="s">
        <v>37</v>
      </c>
      <c r="D327" s="507">
        <f>D317*地域経済性分析・初期条件!$M$71</f>
        <v>0</v>
      </c>
      <c r="E327" s="478">
        <f>E317*地域経済性分析・初期条件!$M$71</f>
        <v>0</v>
      </c>
      <c r="F327" s="478">
        <f>F317*地域経済性分析・初期条件!$M$71</f>
        <v>0</v>
      </c>
      <c r="G327" s="478">
        <f>G317*地域経済性分析・初期条件!$M$71</f>
        <v>0</v>
      </c>
      <c r="H327" s="478">
        <f>H317*地域経済性分析・初期条件!$M$71</f>
        <v>0</v>
      </c>
      <c r="I327" s="478">
        <f>I317*地域経済性分析・初期条件!$M$71</f>
        <v>0</v>
      </c>
      <c r="J327" s="478">
        <f>J317*地域経済性分析・初期条件!$M$71</f>
        <v>0</v>
      </c>
      <c r="K327" s="478">
        <f>K317*地域経済性分析・初期条件!$M$71</f>
        <v>0</v>
      </c>
      <c r="L327" s="478">
        <f>L317*地域経済性分析・初期条件!$M$71</f>
        <v>0</v>
      </c>
      <c r="M327" s="478">
        <f>M317*地域経済性分析・初期条件!$M$71</f>
        <v>0</v>
      </c>
      <c r="N327" s="478">
        <f>N317*地域経済性分析・初期条件!$M$71</f>
        <v>0</v>
      </c>
      <c r="O327" s="478">
        <f>O317*地域経済性分析・初期条件!$M$71</f>
        <v>0</v>
      </c>
      <c r="P327" s="478">
        <f>P317*地域経済性分析・初期条件!$M$71</f>
        <v>0</v>
      </c>
      <c r="Q327" s="478">
        <f>Q317*地域経済性分析・初期条件!$M$71</f>
        <v>0</v>
      </c>
      <c r="R327" s="478">
        <f>R317*地域経済性分析・初期条件!$M$71</f>
        <v>0</v>
      </c>
      <c r="S327" s="478">
        <f>S317*地域経済性分析・初期条件!$M$71</f>
        <v>0</v>
      </c>
      <c r="T327" s="478">
        <f>T317*地域経済性分析・初期条件!$M$71</f>
        <v>0</v>
      </c>
      <c r="U327" s="478">
        <f>U317*地域経済性分析・初期条件!$M$71</f>
        <v>0</v>
      </c>
      <c r="V327" s="478">
        <f>V317*地域経済性分析・初期条件!$M$71</f>
        <v>0</v>
      </c>
      <c r="W327" s="478">
        <f>W317*地域経済性分析・初期条件!$M$71</f>
        <v>0</v>
      </c>
      <c r="X327" s="478">
        <f>X317*地域経済性分析・初期条件!$M$71</f>
        <v>0</v>
      </c>
      <c r="Y327" s="478">
        <f>Y317*地域経済性分析・初期条件!$M$71</f>
        <v>0</v>
      </c>
      <c r="Z327" s="478">
        <f>Z317*地域経済性分析・初期条件!$M$71</f>
        <v>0</v>
      </c>
      <c r="AA327" s="478">
        <f>AA317*地域経済性分析・初期条件!$M$71</f>
        <v>0</v>
      </c>
      <c r="AB327" s="478">
        <f>AB317*地域経済性分析・初期条件!$M$71</f>
        <v>0</v>
      </c>
      <c r="AC327" s="478">
        <f>AC317*地域経済性分析・初期条件!$M$71</f>
        <v>0</v>
      </c>
      <c r="AD327" s="478">
        <f>AD317*地域経済性分析・初期条件!$M$71</f>
        <v>0</v>
      </c>
      <c r="AE327" s="478">
        <f>AE317*地域経済性分析・初期条件!$M$71</f>
        <v>0</v>
      </c>
      <c r="AF327" s="478">
        <f>AF317*地域経済性分析・初期条件!$M$71</f>
        <v>0</v>
      </c>
      <c r="AG327" s="478">
        <f>AG317*地域経済性分析・初期条件!$M$71</f>
        <v>0</v>
      </c>
      <c r="AH327" s="478">
        <f>AH317*地域経済性分析・初期条件!$M$71</f>
        <v>0</v>
      </c>
      <c r="AI327" s="548">
        <f>SUM(D327:N327)</f>
        <v>0</v>
      </c>
      <c r="AJ327" s="548">
        <f t="shared" si="170"/>
        <v>0</v>
      </c>
      <c r="AK327" s="510">
        <f t="shared" si="171"/>
        <v>0</v>
      </c>
    </row>
    <row r="328" spans="1:37" ht="11.5" x14ac:dyDescent="0.25">
      <c r="A328" s="546" t="str">
        <f>A316&amp;B328</f>
        <v>0都道府県税収（二次以降）</v>
      </c>
      <c r="B328" s="452" t="s">
        <v>346</v>
      </c>
      <c r="C328" s="465" t="s">
        <v>37</v>
      </c>
      <c r="D328" s="507">
        <f>D317*地域経済性分析・初期条件!$N$71</f>
        <v>0</v>
      </c>
      <c r="E328" s="478">
        <f>E317*地域経済性分析・初期条件!$N$71</f>
        <v>0</v>
      </c>
      <c r="F328" s="478">
        <f>F317*地域経済性分析・初期条件!$N$71</f>
        <v>0</v>
      </c>
      <c r="G328" s="478">
        <f>G317*地域経済性分析・初期条件!$N$71</f>
        <v>0</v>
      </c>
      <c r="H328" s="478">
        <f>H317*地域経済性分析・初期条件!$N$71</f>
        <v>0</v>
      </c>
      <c r="I328" s="478">
        <f>I317*地域経済性分析・初期条件!$N$71</f>
        <v>0</v>
      </c>
      <c r="J328" s="478">
        <f>J317*地域経済性分析・初期条件!$N$71</f>
        <v>0</v>
      </c>
      <c r="K328" s="478">
        <f>K317*地域経済性分析・初期条件!$N$71</f>
        <v>0</v>
      </c>
      <c r="L328" s="478">
        <f>L317*地域経済性分析・初期条件!$N$71</f>
        <v>0</v>
      </c>
      <c r="M328" s="478">
        <f>M317*地域経済性分析・初期条件!$N$71</f>
        <v>0</v>
      </c>
      <c r="N328" s="478">
        <f>N317*地域経済性分析・初期条件!$N$71</f>
        <v>0</v>
      </c>
      <c r="O328" s="478">
        <f>O317*地域経済性分析・初期条件!$N$71</f>
        <v>0</v>
      </c>
      <c r="P328" s="478">
        <f>P317*地域経済性分析・初期条件!$N$71</f>
        <v>0</v>
      </c>
      <c r="Q328" s="478">
        <f>Q317*地域経済性分析・初期条件!$N$71</f>
        <v>0</v>
      </c>
      <c r="R328" s="478">
        <f>R317*地域経済性分析・初期条件!$N$71</f>
        <v>0</v>
      </c>
      <c r="S328" s="478">
        <f>S317*地域経済性分析・初期条件!$N$71</f>
        <v>0</v>
      </c>
      <c r="T328" s="478">
        <f>T317*地域経済性分析・初期条件!$N$71</f>
        <v>0</v>
      </c>
      <c r="U328" s="478">
        <f>U317*地域経済性分析・初期条件!$N$71</f>
        <v>0</v>
      </c>
      <c r="V328" s="478">
        <f>V317*地域経済性分析・初期条件!$N$71</f>
        <v>0</v>
      </c>
      <c r="W328" s="478">
        <f>W317*地域経済性分析・初期条件!$N$71</f>
        <v>0</v>
      </c>
      <c r="X328" s="478">
        <f>X317*地域経済性分析・初期条件!$N$71</f>
        <v>0</v>
      </c>
      <c r="Y328" s="478">
        <f>Y317*地域経済性分析・初期条件!$N$71</f>
        <v>0</v>
      </c>
      <c r="Z328" s="478">
        <f>Z317*地域経済性分析・初期条件!$N$71</f>
        <v>0</v>
      </c>
      <c r="AA328" s="478">
        <f>AA317*地域経済性分析・初期条件!$N$71</f>
        <v>0</v>
      </c>
      <c r="AB328" s="478">
        <f>AB317*地域経済性分析・初期条件!$N$71</f>
        <v>0</v>
      </c>
      <c r="AC328" s="478">
        <f>AC317*地域経済性分析・初期条件!$N$71</f>
        <v>0</v>
      </c>
      <c r="AD328" s="478">
        <f>AD317*地域経済性分析・初期条件!$N$71</f>
        <v>0</v>
      </c>
      <c r="AE328" s="478">
        <f>AE317*地域経済性分析・初期条件!$N$71</f>
        <v>0</v>
      </c>
      <c r="AF328" s="478">
        <f>AF317*地域経済性分析・初期条件!$N$71</f>
        <v>0</v>
      </c>
      <c r="AG328" s="478">
        <f>AG317*地域経済性分析・初期条件!$N$71</f>
        <v>0</v>
      </c>
      <c r="AH328" s="478">
        <f>AH317*地域経済性分析・初期条件!$N$71</f>
        <v>0</v>
      </c>
      <c r="AI328" s="548">
        <f>SUM(D328:N328)</f>
        <v>0</v>
      </c>
      <c r="AJ328" s="548">
        <f t="shared" si="170"/>
        <v>0</v>
      </c>
      <c r="AK328" s="510">
        <f t="shared" si="171"/>
        <v>0</v>
      </c>
    </row>
    <row r="329" spans="1:37" ht="12" thickBot="1" x14ac:dyDescent="0.3">
      <c r="A329" s="682" t="str">
        <f>A316&amp;B329</f>
        <v>0市町村税収（二次以降）</v>
      </c>
      <c r="B329" s="683" t="s">
        <v>347</v>
      </c>
      <c r="C329" s="684" t="s">
        <v>37</v>
      </c>
      <c r="D329" s="685">
        <f>D317*地域経済性分析・初期条件!$O$71</f>
        <v>0</v>
      </c>
      <c r="E329" s="686">
        <f>E317*地域経済性分析・初期条件!$O$71</f>
        <v>0</v>
      </c>
      <c r="F329" s="686">
        <f>F317*地域経済性分析・初期条件!$O$71</f>
        <v>0</v>
      </c>
      <c r="G329" s="686">
        <f>G317*地域経済性分析・初期条件!$O$71</f>
        <v>0</v>
      </c>
      <c r="H329" s="686">
        <f>H317*地域経済性分析・初期条件!$O$71</f>
        <v>0</v>
      </c>
      <c r="I329" s="686">
        <f>I317*地域経済性分析・初期条件!$O$71</f>
        <v>0</v>
      </c>
      <c r="J329" s="686">
        <f>J317*地域経済性分析・初期条件!$O$71</f>
        <v>0</v>
      </c>
      <c r="K329" s="686">
        <f>K317*地域経済性分析・初期条件!$O$71</f>
        <v>0</v>
      </c>
      <c r="L329" s="686">
        <f>L317*地域経済性分析・初期条件!$O$71</f>
        <v>0</v>
      </c>
      <c r="M329" s="686">
        <f>M317*地域経済性分析・初期条件!$O$71</f>
        <v>0</v>
      </c>
      <c r="N329" s="686">
        <f>N317*地域経済性分析・初期条件!$O$71</f>
        <v>0</v>
      </c>
      <c r="O329" s="686">
        <f>O317*地域経済性分析・初期条件!$O$71</f>
        <v>0</v>
      </c>
      <c r="P329" s="686">
        <f>P317*地域経済性分析・初期条件!$O$71</f>
        <v>0</v>
      </c>
      <c r="Q329" s="686">
        <f>Q317*地域経済性分析・初期条件!$O$71</f>
        <v>0</v>
      </c>
      <c r="R329" s="686">
        <f>R317*地域経済性分析・初期条件!$O$71</f>
        <v>0</v>
      </c>
      <c r="S329" s="686">
        <f>S317*地域経済性分析・初期条件!$O$71</f>
        <v>0</v>
      </c>
      <c r="T329" s="686">
        <f>T317*地域経済性分析・初期条件!$O$71</f>
        <v>0</v>
      </c>
      <c r="U329" s="686">
        <f>U317*地域経済性分析・初期条件!$O$71</f>
        <v>0</v>
      </c>
      <c r="V329" s="686">
        <f>V317*地域経済性分析・初期条件!$O$71</f>
        <v>0</v>
      </c>
      <c r="W329" s="686">
        <f>W317*地域経済性分析・初期条件!$O$71</f>
        <v>0</v>
      </c>
      <c r="X329" s="686">
        <f>X317*地域経済性分析・初期条件!$O$71</f>
        <v>0</v>
      </c>
      <c r="Y329" s="686">
        <f>Y317*地域経済性分析・初期条件!$O$71</f>
        <v>0</v>
      </c>
      <c r="Z329" s="686">
        <f>Z317*地域経済性分析・初期条件!$O$71</f>
        <v>0</v>
      </c>
      <c r="AA329" s="686">
        <f>AA317*地域経済性分析・初期条件!$O$71</f>
        <v>0</v>
      </c>
      <c r="AB329" s="686">
        <f>AB317*地域経済性分析・初期条件!$O$71</f>
        <v>0</v>
      </c>
      <c r="AC329" s="686">
        <f>AC317*地域経済性分析・初期条件!$O$71</f>
        <v>0</v>
      </c>
      <c r="AD329" s="686">
        <f>AD317*地域経済性分析・初期条件!$O$71</f>
        <v>0</v>
      </c>
      <c r="AE329" s="686">
        <f>AE317*地域経済性分析・初期条件!$O$71</f>
        <v>0</v>
      </c>
      <c r="AF329" s="686">
        <f>AF317*地域経済性分析・初期条件!$O$71</f>
        <v>0</v>
      </c>
      <c r="AG329" s="686">
        <f>AG317*地域経済性分析・初期条件!$O$71</f>
        <v>0</v>
      </c>
      <c r="AH329" s="686">
        <f>AH317*地域経済性分析・初期条件!$O$71</f>
        <v>0</v>
      </c>
      <c r="AI329" s="687">
        <f>SUM(D329:N329)</f>
        <v>0</v>
      </c>
      <c r="AJ329" s="687">
        <f t="shared" si="170"/>
        <v>0</v>
      </c>
      <c r="AK329" s="688">
        <f t="shared" si="171"/>
        <v>0</v>
      </c>
    </row>
    <row r="330" spans="1:37" ht="12" thickTop="1" x14ac:dyDescent="0.25">
      <c r="A330" s="1256" t="s">
        <v>1049</v>
      </c>
      <c r="B330" s="452"/>
      <c r="C330" s="465" t="s">
        <v>1050</v>
      </c>
      <c r="D330" s="507">
        <f>SUM(D294:D301,D308:D315,,D322:D329)</f>
        <v>0</v>
      </c>
      <c r="E330" s="507">
        <f>SUM(E294:E301,E308:E315,,E322:E329)</f>
        <v>3945950.4814046947</v>
      </c>
      <c r="F330" s="507">
        <f t="shared" ref="F330:AH330" si="172">SUM(F294:F301,F308:F315,,F322:F329)</f>
        <v>3945950.4814046947</v>
      </c>
      <c r="G330" s="507">
        <f t="shared" si="172"/>
        <v>3945950.4814046947</v>
      </c>
      <c r="H330" s="507">
        <f t="shared" si="172"/>
        <v>3945950.4814046947</v>
      </c>
      <c r="I330" s="507">
        <f t="shared" si="172"/>
        <v>3945950.4814046947</v>
      </c>
      <c r="J330" s="507">
        <f t="shared" si="172"/>
        <v>3945950.4814046947</v>
      </c>
      <c r="K330" s="507">
        <f t="shared" si="172"/>
        <v>3945950.4814046947</v>
      </c>
      <c r="L330" s="507">
        <f t="shared" si="172"/>
        <v>3945950.4814046947</v>
      </c>
      <c r="M330" s="507">
        <f t="shared" si="172"/>
        <v>3945950.4814046947</v>
      </c>
      <c r="N330" s="507">
        <f t="shared" si="172"/>
        <v>3945950.4814046947</v>
      </c>
      <c r="O330" s="507">
        <f t="shared" si="172"/>
        <v>3945950.4814046947</v>
      </c>
      <c r="P330" s="507">
        <f t="shared" si="172"/>
        <v>3945950.4814046947</v>
      </c>
      <c r="Q330" s="507">
        <f t="shared" si="172"/>
        <v>3945950.4814046947</v>
      </c>
      <c r="R330" s="507">
        <f t="shared" si="172"/>
        <v>3945950.4814046947</v>
      </c>
      <c r="S330" s="507">
        <f t="shared" si="172"/>
        <v>3945950.4814046947</v>
      </c>
      <c r="T330" s="507">
        <f t="shared" si="172"/>
        <v>3945950.4814046947</v>
      </c>
      <c r="U330" s="507">
        <f t="shared" si="172"/>
        <v>3945950.4814046947</v>
      </c>
      <c r="V330" s="507">
        <f t="shared" si="172"/>
        <v>3945950.4814046947</v>
      </c>
      <c r="W330" s="507">
        <f t="shared" si="172"/>
        <v>3945950.4814046947</v>
      </c>
      <c r="X330" s="507">
        <f t="shared" si="172"/>
        <v>3945950.4814046947</v>
      </c>
      <c r="Y330" s="507">
        <f t="shared" si="172"/>
        <v>3945950.4814046947</v>
      </c>
      <c r="Z330" s="507">
        <f t="shared" si="172"/>
        <v>3945950.4814046947</v>
      </c>
      <c r="AA330" s="507">
        <f t="shared" si="172"/>
        <v>3945950.4814046947</v>
      </c>
      <c r="AB330" s="507">
        <f t="shared" si="172"/>
        <v>3945950.4814046947</v>
      </c>
      <c r="AC330" s="507">
        <f t="shared" si="172"/>
        <v>3945950.4814046947</v>
      </c>
      <c r="AD330" s="507">
        <f t="shared" si="172"/>
        <v>3945950.4814046947</v>
      </c>
      <c r="AE330" s="507">
        <f t="shared" si="172"/>
        <v>3945950.4814046947</v>
      </c>
      <c r="AF330" s="507">
        <f t="shared" si="172"/>
        <v>3945950.4814046947</v>
      </c>
      <c r="AG330" s="507">
        <f t="shared" si="172"/>
        <v>3945950.4814046947</v>
      </c>
      <c r="AH330" s="507">
        <f t="shared" si="172"/>
        <v>3945950.4814046947</v>
      </c>
      <c r="AI330" s="548">
        <f>AI287-SUM(AI294:AI301,AI308:AI315,AI322:AI329)</f>
        <v>207079768.94734263</v>
      </c>
      <c r="AJ330" s="548">
        <f>AJ287-SUM(AJ294:AJ301,AJ308:AJ315,AJ322:AJ329)</f>
        <v>414159537.89468551</v>
      </c>
      <c r="AK330" s="510">
        <f>AK287-SUM(AK294:AK301,AK308:AK315,AK322:AK329)</f>
        <v>621239306.8420279</v>
      </c>
    </row>
    <row r="331" spans="1:37" ht="11.5" x14ac:dyDescent="0.25">
      <c r="A331" s="1257" t="s">
        <v>1051</v>
      </c>
      <c r="B331" s="1258"/>
      <c r="C331" s="1259" t="s">
        <v>37</v>
      </c>
      <c r="D331" s="1254">
        <f>D287*1.1-D330</f>
        <v>0</v>
      </c>
      <c r="E331" s="1254">
        <f>E287*1.1-E330</f>
        <v>23173369.632348161</v>
      </c>
      <c r="F331" s="508">
        <f t="shared" ref="F331:AH331" si="173">F287*1.1-F330</f>
        <v>23173369.632348161</v>
      </c>
      <c r="G331" s="508">
        <f t="shared" si="173"/>
        <v>23173369.632348161</v>
      </c>
      <c r="H331" s="508">
        <f t="shared" si="173"/>
        <v>23173369.632348161</v>
      </c>
      <c r="I331" s="508">
        <f t="shared" si="173"/>
        <v>23173369.632348161</v>
      </c>
      <c r="J331" s="508">
        <f t="shared" si="173"/>
        <v>23173369.632348161</v>
      </c>
      <c r="K331" s="508">
        <f t="shared" si="173"/>
        <v>23173369.632348161</v>
      </c>
      <c r="L331" s="508">
        <f t="shared" si="173"/>
        <v>23173369.632348161</v>
      </c>
      <c r="M331" s="508">
        <f t="shared" si="173"/>
        <v>23173369.632348161</v>
      </c>
      <c r="N331" s="508">
        <f t="shared" si="173"/>
        <v>23173369.632348161</v>
      </c>
      <c r="O331" s="508">
        <f t="shared" si="173"/>
        <v>23173369.632348161</v>
      </c>
      <c r="P331" s="508">
        <f t="shared" si="173"/>
        <v>23173369.632348161</v>
      </c>
      <c r="Q331" s="508">
        <f t="shared" si="173"/>
        <v>23173369.632348161</v>
      </c>
      <c r="R331" s="508">
        <f t="shared" si="173"/>
        <v>23173369.632348161</v>
      </c>
      <c r="S331" s="508">
        <f t="shared" si="173"/>
        <v>23173369.632348161</v>
      </c>
      <c r="T331" s="508">
        <f t="shared" si="173"/>
        <v>23173369.632348161</v>
      </c>
      <c r="U331" s="508">
        <f t="shared" si="173"/>
        <v>23173369.632348161</v>
      </c>
      <c r="V331" s="508">
        <f t="shared" si="173"/>
        <v>23173369.632348161</v>
      </c>
      <c r="W331" s="508">
        <f t="shared" si="173"/>
        <v>23173369.632348161</v>
      </c>
      <c r="X331" s="508">
        <f t="shared" si="173"/>
        <v>23173369.632348161</v>
      </c>
      <c r="Y331" s="508">
        <f t="shared" si="173"/>
        <v>23173369.632348161</v>
      </c>
      <c r="Z331" s="508">
        <f t="shared" si="173"/>
        <v>23173369.632348161</v>
      </c>
      <c r="AA331" s="508">
        <f t="shared" si="173"/>
        <v>23173369.632348161</v>
      </c>
      <c r="AB331" s="508">
        <f t="shared" si="173"/>
        <v>23173369.632348161</v>
      </c>
      <c r="AC331" s="508">
        <f t="shared" si="173"/>
        <v>23173369.632348161</v>
      </c>
      <c r="AD331" s="508">
        <f t="shared" si="173"/>
        <v>23173369.632348161</v>
      </c>
      <c r="AE331" s="508">
        <f t="shared" si="173"/>
        <v>23173369.632348161</v>
      </c>
      <c r="AF331" s="508">
        <f t="shared" si="173"/>
        <v>23173369.632348161</v>
      </c>
      <c r="AG331" s="508">
        <f t="shared" si="173"/>
        <v>23173369.632348161</v>
      </c>
      <c r="AH331" s="508">
        <f t="shared" si="173"/>
        <v>23173369.632348161</v>
      </c>
      <c r="AI331" s="550">
        <f>AI288-SUM(AI295:AI302,AI309:AI316,AI323:AI329)</f>
        <v>-14600884.700888632</v>
      </c>
      <c r="AJ331" s="550">
        <f>AJ288-SUM(AJ295:AJ302,AJ309:AJ316,AJ323:AJ329)</f>
        <v>-29201769.40177726</v>
      </c>
      <c r="AK331" s="551">
        <f>AK288-SUM(AK295:AK302,AK309:AK316,AK323:AK329)</f>
        <v>-43802654.102665886</v>
      </c>
    </row>
    <row r="332" spans="1:37" ht="11.5" x14ac:dyDescent="0.25">
      <c r="A332" s="452" t="str">
        <f>B37</f>
        <v>一般管理費</v>
      </c>
      <c r="B332" s="426"/>
      <c r="C332" s="464" t="s">
        <v>37</v>
      </c>
      <c r="D332" s="507">
        <f t="shared" ref="D332" si="174">D37</f>
        <v>0</v>
      </c>
      <c r="E332" s="507">
        <f>E37</f>
        <v>16435951.584092641</v>
      </c>
      <c r="F332" s="507">
        <f t="shared" ref="F332:AH332" si="175">F37</f>
        <v>16435951.584092641</v>
      </c>
      <c r="G332" s="507">
        <f t="shared" si="175"/>
        <v>16435951.584092641</v>
      </c>
      <c r="H332" s="507">
        <f t="shared" si="175"/>
        <v>16435951.584092641</v>
      </c>
      <c r="I332" s="507">
        <f t="shared" si="175"/>
        <v>16435951.584092641</v>
      </c>
      <c r="J332" s="507">
        <f t="shared" si="175"/>
        <v>16435951.584092641</v>
      </c>
      <c r="K332" s="507">
        <f t="shared" si="175"/>
        <v>16435951.584092641</v>
      </c>
      <c r="L332" s="507">
        <f t="shared" si="175"/>
        <v>16435951.584092641</v>
      </c>
      <c r="M332" s="507">
        <f t="shared" si="175"/>
        <v>16435951.584092641</v>
      </c>
      <c r="N332" s="507">
        <f t="shared" si="175"/>
        <v>16435951.584092641</v>
      </c>
      <c r="O332" s="507">
        <f t="shared" si="175"/>
        <v>16435951.584092641</v>
      </c>
      <c r="P332" s="507">
        <f t="shared" si="175"/>
        <v>16435951.584092641</v>
      </c>
      <c r="Q332" s="507">
        <f t="shared" si="175"/>
        <v>16435951.584092641</v>
      </c>
      <c r="R332" s="507">
        <f t="shared" si="175"/>
        <v>16435951.584092641</v>
      </c>
      <c r="S332" s="507">
        <f t="shared" si="175"/>
        <v>16435951.584092641</v>
      </c>
      <c r="T332" s="507">
        <f t="shared" si="175"/>
        <v>16435951.584092641</v>
      </c>
      <c r="U332" s="507">
        <f t="shared" si="175"/>
        <v>16435951.584092641</v>
      </c>
      <c r="V332" s="507">
        <f t="shared" si="175"/>
        <v>16435951.584092641</v>
      </c>
      <c r="W332" s="507">
        <f t="shared" si="175"/>
        <v>16435951.584092641</v>
      </c>
      <c r="X332" s="507">
        <f t="shared" si="175"/>
        <v>16435951.584092641</v>
      </c>
      <c r="Y332" s="507">
        <f t="shared" si="175"/>
        <v>16435951.584092641</v>
      </c>
      <c r="Z332" s="507">
        <f t="shared" si="175"/>
        <v>16435951.584092641</v>
      </c>
      <c r="AA332" s="507">
        <f t="shared" si="175"/>
        <v>16435951.584092641</v>
      </c>
      <c r="AB332" s="507">
        <f t="shared" si="175"/>
        <v>16435951.584092641</v>
      </c>
      <c r="AC332" s="507">
        <f t="shared" si="175"/>
        <v>16435951.584092641</v>
      </c>
      <c r="AD332" s="507">
        <f t="shared" si="175"/>
        <v>16435951.584092641</v>
      </c>
      <c r="AE332" s="507">
        <f t="shared" si="175"/>
        <v>16435951.584092641</v>
      </c>
      <c r="AF332" s="507">
        <f t="shared" si="175"/>
        <v>16435951.584092641</v>
      </c>
      <c r="AG332" s="507">
        <f t="shared" si="175"/>
        <v>16435951.584092641</v>
      </c>
      <c r="AH332" s="507">
        <f t="shared" si="175"/>
        <v>16435951.584092641</v>
      </c>
      <c r="AI332" s="548">
        <f>SUM(D332:N332)</f>
        <v>164359515.84092644</v>
      </c>
      <c r="AJ332" s="548">
        <f>SUM(D332:X332)</f>
        <v>328719031.68185282</v>
      </c>
      <c r="AK332" s="510">
        <f>SUM(D332:AH332)</f>
        <v>493078547.52277899</v>
      </c>
    </row>
    <row r="333" spans="1:37" ht="11.5" x14ac:dyDescent="0.25">
      <c r="A333" s="502" t="str">
        <f>地域経済性分析・初期条件!$G$73</f>
        <v>情報通信業</v>
      </c>
      <c r="C333" s="465"/>
      <c r="D333" s="507"/>
      <c r="E333" s="478"/>
      <c r="F333" s="479"/>
      <c r="G333" s="478"/>
      <c r="H333" s="478"/>
      <c r="I333" s="478"/>
      <c r="J333" s="478"/>
      <c r="K333" s="478"/>
      <c r="L333" s="478"/>
      <c r="M333" s="478"/>
      <c r="N333" s="478"/>
      <c r="O333" s="478"/>
      <c r="P333" s="478"/>
      <c r="Q333" s="478"/>
      <c r="R333" s="478"/>
      <c r="S333" s="478"/>
      <c r="T333" s="478"/>
      <c r="U333" s="478"/>
      <c r="V333" s="478"/>
      <c r="W333" s="478"/>
      <c r="X333" s="478"/>
      <c r="Y333" s="478"/>
      <c r="Z333" s="478"/>
      <c r="AA333" s="478"/>
      <c r="AB333" s="478"/>
      <c r="AC333" s="478"/>
      <c r="AD333" s="478"/>
      <c r="AE333" s="478"/>
      <c r="AF333" s="478"/>
      <c r="AG333" s="478"/>
      <c r="AH333" s="478"/>
      <c r="AI333" s="548"/>
      <c r="AJ333" s="548"/>
      <c r="AK333" s="510"/>
    </row>
    <row r="334" spans="1:37" ht="11.5" x14ac:dyDescent="0.25">
      <c r="A334" s="546" t="str">
        <f>A333&amp;B334</f>
        <v>情報通信業売上（税別）</v>
      </c>
      <c r="B334" s="452" t="s">
        <v>1047</v>
      </c>
      <c r="C334" s="464" t="s">
        <v>37</v>
      </c>
      <c r="D334" s="507">
        <f>D332*地域経済性分析・初期条件!$F$73</f>
        <v>0</v>
      </c>
      <c r="E334" s="507">
        <f>E332*地域経済性分析・初期条件!$F$73</f>
        <v>2739325.2640154399</v>
      </c>
      <c r="F334" s="507">
        <f>F332*地域経済性分析・初期条件!$F$73</f>
        <v>2739325.2640154399</v>
      </c>
      <c r="G334" s="507">
        <f>G332*地域経済性分析・初期条件!$F$73</f>
        <v>2739325.2640154399</v>
      </c>
      <c r="H334" s="507">
        <f>H332*地域経済性分析・初期条件!$F$73</f>
        <v>2739325.2640154399</v>
      </c>
      <c r="I334" s="507">
        <f>I332*地域経済性分析・初期条件!$F$73</f>
        <v>2739325.2640154399</v>
      </c>
      <c r="J334" s="507">
        <f>J332*地域経済性分析・初期条件!$F$73</f>
        <v>2739325.2640154399</v>
      </c>
      <c r="K334" s="507">
        <f>K332*地域経済性分析・初期条件!$F$73</f>
        <v>2739325.2640154399</v>
      </c>
      <c r="L334" s="507">
        <f>L332*地域経済性分析・初期条件!$F$73</f>
        <v>2739325.2640154399</v>
      </c>
      <c r="M334" s="507">
        <f>M332*地域経済性分析・初期条件!$F$73</f>
        <v>2739325.2640154399</v>
      </c>
      <c r="N334" s="507">
        <f>N332*地域経済性分析・初期条件!$F$73</f>
        <v>2739325.2640154399</v>
      </c>
      <c r="O334" s="507">
        <f>O332*地域経済性分析・初期条件!$F$73</f>
        <v>2739325.2640154399</v>
      </c>
      <c r="P334" s="507">
        <f>P332*地域経済性分析・初期条件!$F$73</f>
        <v>2739325.2640154399</v>
      </c>
      <c r="Q334" s="507">
        <f>Q332*地域経済性分析・初期条件!$F$73</f>
        <v>2739325.2640154399</v>
      </c>
      <c r="R334" s="507">
        <f>R332*地域経済性分析・初期条件!$F$73</f>
        <v>2739325.2640154399</v>
      </c>
      <c r="S334" s="507">
        <f>S332*地域経済性分析・初期条件!$F$73</f>
        <v>2739325.2640154399</v>
      </c>
      <c r="T334" s="507">
        <f>T332*地域経済性分析・初期条件!$F$73</f>
        <v>2739325.2640154399</v>
      </c>
      <c r="U334" s="507">
        <f>U332*地域経済性分析・初期条件!$F$73</f>
        <v>2739325.2640154399</v>
      </c>
      <c r="V334" s="507">
        <f>V332*地域経済性分析・初期条件!$F$73</f>
        <v>2739325.2640154399</v>
      </c>
      <c r="W334" s="507">
        <f>W332*地域経済性分析・初期条件!$F$73</f>
        <v>2739325.2640154399</v>
      </c>
      <c r="X334" s="507">
        <f>X332*地域経済性分析・初期条件!$F$73</f>
        <v>2739325.2640154399</v>
      </c>
      <c r="Y334" s="507">
        <f>Y332*地域経済性分析・初期条件!$F$73</f>
        <v>2739325.2640154399</v>
      </c>
      <c r="Z334" s="507">
        <f>Z332*地域経済性分析・初期条件!$F$73</f>
        <v>2739325.2640154399</v>
      </c>
      <c r="AA334" s="507">
        <f>AA332*地域経済性分析・初期条件!$F$73</f>
        <v>2739325.2640154399</v>
      </c>
      <c r="AB334" s="507">
        <f>AB332*地域経済性分析・初期条件!$F$73</f>
        <v>2739325.2640154399</v>
      </c>
      <c r="AC334" s="507">
        <f>AC332*地域経済性分析・初期条件!$F$73</f>
        <v>2739325.2640154399</v>
      </c>
      <c r="AD334" s="507">
        <f>AD332*地域経済性分析・初期条件!$F$73</f>
        <v>2739325.2640154399</v>
      </c>
      <c r="AE334" s="507">
        <f>AE332*地域経済性分析・初期条件!$F$73</f>
        <v>2739325.2640154399</v>
      </c>
      <c r="AF334" s="507">
        <f>AF332*地域経済性分析・初期条件!$F$73</f>
        <v>2739325.2640154399</v>
      </c>
      <c r="AG334" s="507">
        <f>AG332*地域経済性分析・初期条件!$F$73</f>
        <v>2739325.2640154399</v>
      </c>
      <c r="AH334" s="507">
        <f>AH332*地域経済性分析・初期条件!$F$73</f>
        <v>2739325.2640154399</v>
      </c>
      <c r="AI334" s="548">
        <f t="shared" ref="AI334:AI342" si="176">SUM(D334:N334)</f>
        <v>27393252.640154399</v>
      </c>
      <c r="AJ334" s="548">
        <f t="shared" ref="AJ334:AJ342" si="177">SUM(D334:X334)</f>
        <v>54786505.280308768</v>
      </c>
      <c r="AK334" s="510">
        <f t="shared" ref="AK334:AK342" si="178">SUM(D334:AH334)</f>
        <v>82179757.92046313</v>
      </c>
    </row>
    <row r="335" spans="1:37" ht="11.5" x14ac:dyDescent="0.25">
      <c r="A335" s="546" t="str">
        <f>A333&amp;B335</f>
        <v>情報通信業消費税（都道府県）</v>
      </c>
      <c r="B335" s="452" t="s">
        <v>263</v>
      </c>
      <c r="C335" s="464" t="s">
        <v>37</v>
      </c>
      <c r="D335" s="507">
        <f>D334*波及効果シート!$D$72</f>
        <v>0</v>
      </c>
      <c r="E335" s="507">
        <f>E334*波及効果シート!$D$72</f>
        <v>30132.577904169837</v>
      </c>
      <c r="F335" s="507">
        <f>F334*波及効果シート!$D$72</f>
        <v>30132.577904169837</v>
      </c>
      <c r="G335" s="507">
        <f>G334*波及効果シート!$D$72</f>
        <v>30132.577904169837</v>
      </c>
      <c r="H335" s="507">
        <f>H334*波及効果シート!$D$72</f>
        <v>30132.577904169837</v>
      </c>
      <c r="I335" s="507">
        <f>I334*波及効果シート!$D$72</f>
        <v>30132.577904169837</v>
      </c>
      <c r="J335" s="507">
        <f>J334*波及効果シート!$D$72</f>
        <v>30132.577904169837</v>
      </c>
      <c r="K335" s="507">
        <f>K334*波及効果シート!$D$72</f>
        <v>30132.577904169837</v>
      </c>
      <c r="L335" s="507">
        <f>L334*波及効果シート!$D$72</f>
        <v>30132.577904169837</v>
      </c>
      <c r="M335" s="507">
        <f>M334*波及効果シート!$D$72</f>
        <v>30132.577904169837</v>
      </c>
      <c r="N335" s="507">
        <f>N334*波及効果シート!$D$72</f>
        <v>30132.577904169837</v>
      </c>
      <c r="O335" s="507">
        <f>O334*波及効果シート!$D$72</f>
        <v>30132.577904169837</v>
      </c>
      <c r="P335" s="507">
        <f>P334*波及効果シート!$D$72</f>
        <v>30132.577904169837</v>
      </c>
      <c r="Q335" s="507">
        <f>Q334*波及効果シート!$D$72</f>
        <v>30132.577904169837</v>
      </c>
      <c r="R335" s="507">
        <f>R334*波及効果シート!$D$72</f>
        <v>30132.577904169837</v>
      </c>
      <c r="S335" s="507">
        <f>S334*波及効果シート!$D$72</f>
        <v>30132.577904169837</v>
      </c>
      <c r="T335" s="507">
        <f>T334*波及効果シート!$D$72</f>
        <v>30132.577904169837</v>
      </c>
      <c r="U335" s="507">
        <f>U334*波及効果シート!$D$72</f>
        <v>30132.577904169837</v>
      </c>
      <c r="V335" s="507">
        <f>V334*波及効果シート!$D$72</f>
        <v>30132.577904169837</v>
      </c>
      <c r="W335" s="507">
        <f>W334*波及効果シート!$D$72</f>
        <v>30132.577904169837</v>
      </c>
      <c r="X335" s="507">
        <f>X334*波及効果シート!$D$72</f>
        <v>30132.577904169837</v>
      </c>
      <c r="Y335" s="507">
        <f>Y334*波及効果シート!$D$72</f>
        <v>30132.577904169837</v>
      </c>
      <c r="Z335" s="507">
        <f>Z334*波及効果シート!$D$72</f>
        <v>30132.577904169837</v>
      </c>
      <c r="AA335" s="507">
        <f>AA334*波及効果シート!$D$72</f>
        <v>30132.577904169837</v>
      </c>
      <c r="AB335" s="507">
        <f>AB334*波及効果シート!$D$72</f>
        <v>30132.577904169837</v>
      </c>
      <c r="AC335" s="507">
        <f>AC334*波及効果シート!$D$72</f>
        <v>30132.577904169837</v>
      </c>
      <c r="AD335" s="507">
        <f>AD334*波及効果シート!$D$72</f>
        <v>30132.577904169837</v>
      </c>
      <c r="AE335" s="507">
        <f>AE334*波及効果シート!$D$72</f>
        <v>30132.577904169837</v>
      </c>
      <c r="AF335" s="507">
        <f>AF334*波及効果シート!$D$72</f>
        <v>30132.577904169837</v>
      </c>
      <c r="AG335" s="507">
        <f>AG334*波及効果シート!$D$72</f>
        <v>30132.577904169837</v>
      </c>
      <c r="AH335" s="507">
        <f>AH334*波及効果シート!$D$72</f>
        <v>30132.577904169837</v>
      </c>
      <c r="AI335" s="548">
        <f t="shared" si="176"/>
        <v>301325.77904169838</v>
      </c>
      <c r="AJ335" s="548">
        <f t="shared" si="177"/>
        <v>602651.55808339675</v>
      </c>
      <c r="AK335" s="510">
        <f t="shared" si="178"/>
        <v>903977.33712509472</v>
      </c>
    </row>
    <row r="336" spans="1:37" ht="11.5" x14ac:dyDescent="0.25">
      <c r="A336" s="546" t="str">
        <f>A333&amp;B336</f>
        <v>情報通信業消費税（市町村）</v>
      </c>
      <c r="B336" s="452" t="s">
        <v>1048</v>
      </c>
      <c r="C336" s="465" t="s">
        <v>37</v>
      </c>
      <c r="D336" s="507">
        <f>D334*波及効果シート!$D$74</f>
        <v>0</v>
      </c>
      <c r="E336" s="507">
        <f>E334*波及効果シート!$D$74</f>
        <v>30132.577904169837</v>
      </c>
      <c r="F336" s="507">
        <f>F334*波及効果シート!$D$74</f>
        <v>30132.577904169837</v>
      </c>
      <c r="G336" s="507">
        <f>G334*波及効果シート!$D$74</f>
        <v>30132.577904169837</v>
      </c>
      <c r="H336" s="507">
        <f>H334*波及効果シート!$D$74</f>
        <v>30132.577904169837</v>
      </c>
      <c r="I336" s="507">
        <f>I334*波及効果シート!$D$74</f>
        <v>30132.577904169837</v>
      </c>
      <c r="J336" s="507">
        <f>J334*波及効果シート!$D$74</f>
        <v>30132.577904169837</v>
      </c>
      <c r="K336" s="507">
        <f>K334*波及効果シート!$D$74</f>
        <v>30132.577904169837</v>
      </c>
      <c r="L336" s="507">
        <f>L334*波及効果シート!$D$74</f>
        <v>30132.577904169837</v>
      </c>
      <c r="M336" s="507">
        <f>M334*波及効果シート!$D$74</f>
        <v>30132.577904169837</v>
      </c>
      <c r="N336" s="507">
        <f>N334*波及効果シート!$D$74</f>
        <v>30132.577904169837</v>
      </c>
      <c r="O336" s="507">
        <f>O334*波及効果シート!$D$74</f>
        <v>30132.577904169837</v>
      </c>
      <c r="P336" s="507">
        <f>P334*波及効果シート!$D$74</f>
        <v>30132.577904169837</v>
      </c>
      <c r="Q336" s="507">
        <f>Q334*波及効果シート!$D$74</f>
        <v>30132.577904169837</v>
      </c>
      <c r="R336" s="507">
        <f>R334*波及効果シート!$D$74</f>
        <v>30132.577904169837</v>
      </c>
      <c r="S336" s="507">
        <f>S334*波及効果シート!$D$74</f>
        <v>30132.577904169837</v>
      </c>
      <c r="T336" s="507">
        <f>T334*波及効果シート!$D$74</f>
        <v>30132.577904169837</v>
      </c>
      <c r="U336" s="507">
        <f>U334*波及効果シート!$D$74</f>
        <v>30132.577904169837</v>
      </c>
      <c r="V336" s="507">
        <f>V334*波及効果シート!$D$74</f>
        <v>30132.577904169837</v>
      </c>
      <c r="W336" s="507">
        <f>W334*波及効果シート!$D$74</f>
        <v>30132.577904169837</v>
      </c>
      <c r="X336" s="507">
        <f>X334*波及効果シート!$D$74</f>
        <v>30132.577904169837</v>
      </c>
      <c r="Y336" s="507">
        <f>Y334*波及効果シート!$D$74</f>
        <v>30132.577904169837</v>
      </c>
      <c r="Z336" s="507">
        <f>Z334*波及効果シート!$D$74</f>
        <v>30132.577904169837</v>
      </c>
      <c r="AA336" s="507">
        <f>AA334*波及効果シート!$D$74</f>
        <v>30132.577904169837</v>
      </c>
      <c r="AB336" s="507">
        <f>AB334*波及効果シート!$D$74</f>
        <v>30132.577904169837</v>
      </c>
      <c r="AC336" s="507">
        <f>AC334*波及効果シート!$D$74</f>
        <v>30132.577904169837</v>
      </c>
      <c r="AD336" s="507">
        <f>AD334*波及効果シート!$D$74</f>
        <v>30132.577904169837</v>
      </c>
      <c r="AE336" s="507">
        <f>AE334*波及効果シート!$D$74</f>
        <v>30132.577904169837</v>
      </c>
      <c r="AF336" s="507">
        <f>AF334*波及効果シート!$D$74</f>
        <v>30132.577904169837</v>
      </c>
      <c r="AG336" s="507">
        <f>AG334*波及効果シート!$D$74</f>
        <v>30132.577904169837</v>
      </c>
      <c r="AH336" s="507">
        <f>AH334*波及効果シート!$D$74</f>
        <v>30132.577904169837</v>
      </c>
      <c r="AI336" s="548">
        <f t="shared" si="176"/>
        <v>301325.77904169838</v>
      </c>
      <c r="AJ336" s="548">
        <f t="shared" si="177"/>
        <v>602651.55808339675</v>
      </c>
      <c r="AK336" s="510">
        <f t="shared" si="178"/>
        <v>903977.33712509472</v>
      </c>
    </row>
    <row r="337" spans="1:37" ht="11.5" x14ac:dyDescent="0.25">
      <c r="A337" s="546" t="str">
        <f>A333&amp;B337</f>
        <v>情報通信業所得税（国税）</v>
      </c>
      <c r="B337" s="452" t="s">
        <v>356</v>
      </c>
      <c r="C337" s="465" t="s">
        <v>37</v>
      </c>
      <c r="D337" s="507">
        <f>D334*地域経済性分析・初期条件!$P$73</f>
        <v>0</v>
      </c>
      <c r="E337" s="507">
        <f>E334*地域経済性分析・初期条件!$P$73</f>
        <v>0</v>
      </c>
      <c r="F337" s="507">
        <f>F334*地域経済性分析・初期条件!$P$73</f>
        <v>0</v>
      </c>
      <c r="G337" s="507">
        <f>G334*地域経済性分析・初期条件!$P$73</f>
        <v>0</v>
      </c>
      <c r="H337" s="507">
        <f>H334*地域経済性分析・初期条件!$P$73</f>
        <v>0</v>
      </c>
      <c r="I337" s="507">
        <f>I334*地域経済性分析・初期条件!$P$73</f>
        <v>0</v>
      </c>
      <c r="J337" s="507">
        <f>J334*地域経済性分析・初期条件!$P$73</f>
        <v>0</v>
      </c>
      <c r="K337" s="507">
        <f>K334*地域経済性分析・初期条件!$P$73</f>
        <v>0</v>
      </c>
      <c r="L337" s="507">
        <f>L334*地域経済性分析・初期条件!$P$73</f>
        <v>0</v>
      </c>
      <c r="M337" s="507">
        <f>M334*地域経済性分析・初期条件!$P$73</f>
        <v>0</v>
      </c>
      <c r="N337" s="507">
        <f>N334*地域経済性分析・初期条件!$P$73</f>
        <v>0</v>
      </c>
      <c r="O337" s="507">
        <f>O334*地域経済性分析・初期条件!$P$73</f>
        <v>0</v>
      </c>
      <c r="P337" s="507">
        <f>P334*地域経済性分析・初期条件!$P$73</f>
        <v>0</v>
      </c>
      <c r="Q337" s="507">
        <f>Q334*地域経済性分析・初期条件!$P$73</f>
        <v>0</v>
      </c>
      <c r="R337" s="507">
        <f>R334*地域経済性分析・初期条件!$P$73</f>
        <v>0</v>
      </c>
      <c r="S337" s="507">
        <f>S334*地域経済性分析・初期条件!$P$73</f>
        <v>0</v>
      </c>
      <c r="T337" s="507">
        <f>T334*地域経済性分析・初期条件!$P$73</f>
        <v>0</v>
      </c>
      <c r="U337" s="507">
        <f>U334*地域経済性分析・初期条件!$P$73</f>
        <v>0</v>
      </c>
      <c r="V337" s="507">
        <f>V334*地域経済性分析・初期条件!$P$73</f>
        <v>0</v>
      </c>
      <c r="W337" s="507">
        <f>W334*地域経済性分析・初期条件!$P$73</f>
        <v>0</v>
      </c>
      <c r="X337" s="507">
        <f>X334*地域経済性分析・初期条件!$P$73</f>
        <v>0</v>
      </c>
      <c r="Y337" s="507">
        <f>Y334*地域経済性分析・初期条件!$P$73</f>
        <v>0</v>
      </c>
      <c r="Z337" s="507">
        <f>Z334*地域経済性分析・初期条件!$P$73</f>
        <v>0</v>
      </c>
      <c r="AA337" s="507">
        <f>AA334*地域経済性分析・初期条件!$P$73</f>
        <v>0</v>
      </c>
      <c r="AB337" s="507">
        <f>AB334*地域経済性分析・初期条件!$P$73</f>
        <v>0</v>
      </c>
      <c r="AC337" s="507">
        <f>AC334*地域経済性分析・初期条件!$P$73</f>
        <v>0</v>
      </c>
      <c r="AD337" s="507">
        <f>AD334*地域経済性分析・初期条件!$P$73</f>
        <v>0</v>
      </c>
      <c r="AE337" s="507">
        <f>AE334*地域経済性分析・初期条件!$P$73</f>
        <v>0</v>
      </c>
      <c r="AF337" s="507">
        <f>AF334*地域経済性分析・初期条件!$P$73</f>
        <v>0</v>
      </c>
      <c r="AG337" s="507">
        <f>AG334*地域経済性分析・初期条件!$P$73</f>
        <v>0</v>
      </c>
      <c r="AH337" s="507">
        <f>AH334*地域経済性分析・初期条件!$P$73</f>
        <v>0</v>
      </c>
      <c r="AI337" s="548">
        <f t="shared" si="176"/>
        <v>0</v>
      </c>
      <c r="AJ337" s="548">
        <f t="shared" si="177"/>
        <v>0</v>
      </c>
      <c r="AK337" s="510">
        <f t="shared" si="178"/>
        <v>0</v>
      </c>
    </row>
    <row r="338" spans="1:37" ht="11.5" x14ac:dyDescent="0.25">
      <c r="A338" s="546" t="str">
        <f>A333&amp;B338</f>
        <v>情報通信業法人税（国税）</v>
      </c>
      <c r="B338" s="452" t="s">
        <v>355</v>
      </c>
      <c r="C338" s="465" t="s">
        <v>37</v>
      </c>
      <c r="D338" s="507">
        <f>D334*地域経済性分析・初期条件!$Q$73</f>
        <v>0</v>
      </c>
      <c r="E338" s="507">
        <f>E334*地域経済性分析・初期条件!$Q$73</f>
        <v>0</v>
      </c>
      <c r="F338" s="507">
        <f>F334*地域経済性分析・初期条件!$Q$73</f>
        <v>0</v>
      </c>
      <c r="G338" s="507">
        <f>G334*地域経済性分析・初期条件!$Q$73</f>
        <v>0</v>
      </c>
      <c r="H338" s="507">
        <f>H334*地域経済性分析・初期条件!$Q$73</f>
        <v>0</v>
      </c>
      <c r="I338" s="507">
        <f>I334*地域経済性分析・初期条件!$Q$73</f>
        <v>0</v>
      </c>
      <c r="J338" s="507">
        <f>J334*地域経済性分析・初期条件!$Q$73</f>
        <v>0</v>
      </c>
      <c r="K338" s="507">
        <f>K334*地域経済性分析・初期条件!$Q$73</f>
        <v>0</v>
      </c>
      <c r="L338" s="507">
        <f>L334*地域経済性分析・初期条件!$Q$73</f>
        <v>0</v>
      </c>
      <c r="M338" s="507">
        <f>M334*地域経済性分析・初期条件!$Q$73</f>
        <v>0</v>
      </c>
      <c r="N338" s="507">
        <f>N334*地域経済性分析・初期条件!$Q$73</f>
        <v>0</v>
      </c>
      <c r="O338" s="507">
        <f>O334*地域経済性分析・初期条件!$Q$73</f>
        <v>0</v>
      </c>
      <c r="P338" s="507">
        <f>P334*地域経済性分析・初期条件!$Q$73</f>
        <v>0</v>
      </c>
      <c r="Q338" s="507">
        <f>Q334*地域経済性分析・初期条件!$Q$73</f>
        <v>0</v>
      </c>
      <c r="R338" s="507">
        <f>R334*地域経済性分析・初期条件!$Q$73</f>
        <v>0</v>
      </c>
      <c r="S338" s="507">
        <f>S334*地域経済性分析・初期条件!$Q$73</f>
        <v>0</v>
      </c>
      <c r="T338" s="507">
        <f>T334*地域経済性分析・初期条件!$Q$73</f>
        <v>0</v>
      </c>
      <c r="U338" s="507">
        <f>U334*地域経済性分析・初期条件!$Q$73</f>
        <v>0</v>
      </c>
      <c r="V338" s="507">
        <f>V334*地域経済性分析・初期条件!$Q$73</f>
        <v>0</v>
      </c>
      <c r="W338" s="507">
        <f>W334*地域経済性分析・初期条件!$Q$73</f>
        <v>0</v>
      </c>
      <c r="X338" s="507">
        <f>X334*地域経済性分析・初期条件!$Q$73</f>
        <v>0</v>
      </c>
      <c r="Y338" s="507">
        <f>Y334*地域経済性分析・初期条件!$Q$73</f>
        <v>0</v>
      </c>
      <c r="Z338" s="507">
        <f>Z334*地域経済性分析・初期条件!$Q$73</f>
        <v>0</v>
      </c>
      <c r="AA338" s="507">
        <f>AA334*地域経済性分析・初期条件!$Q$73</f>
        <v>0</v>
      </c>
      <c r="AB338" s="507">
        <f>AB334*地域経済性分析・初期条件!$Q$73</f>
        <v>0</v>
      </c>
      <c r="AC338" s="507">
        <f>AC334*地域経済性分析・初期条件!$Q$73</f>
        <v>0</v>
      </c>
      <c r="AD338" s="507">
        <f>AD334*地域経済性分析・初期条件!$Q$73</f>
        <v>0</v>
      </c>
      <c r="AE338" s="507">
        <f>AE334*地域経済性分析・初期条件!$Q$73</f>
        <v>0</v>
      </c>
      <c r="AF338" s="507">
        <f>AF334*地域経済性分析・初期条件!$Q$73</f>
        <v>0</v>
      </c>
      <c r="AG338" s="507">
        <f>AG334*地域経済性分析・初期条件!$Q$73</f>
        <v>0</v>
      </c>
      <c r="AH338" s="507">
        <f>AH334*地域経済性分析・初期条件!$Q$73</f>
        <v>0</v>
      </c>
      <c r="AI338" s="548">
        <f t="shared" si="176"/>
        <v>0</v>
      </c>
      <c r="AJ338" s="548">
        <f t="shared" si="177"/>
        <v>0</v>
      </c>
      <c r="AK338" s="510">
        <f t="shared" si="178"/>
        <v>0</v>
      </c>
    </row>
    <row r="339" spans="1:37" ht="11.5" x14ac:dyDescent="0.25">
      <c r="A339" s="546" t="str">
        <f>A333&amp;B339</f>
        <v>情報通信業従業員の可処分所得（一次）</v>
      </c>
      <c r="B339" s="452" t="s">
        <v>339</v>
      </c>
      <c r="C339" s="464" t="s">
        <v>37</v>
      </c>
      <c r="D339" s="507">
        <f>D334*地域経済性分析・初期条件!$H$73</f>
        <v>0</v>
      </c>
      <c r="E339" s="507">
        <f>E334*地域経済性分析・初期条件!$H$73</f>
        <v>311679.57482814498</v>
      </c>
      <c r="F339" s="507">
        <f>F334*地域経済性分析・初期条件!$H$73</f>
        <v>311679.57482814498</v>
      </c>
      <c r="G339" s="507">
        <f>G334*地域経済性分析・初期条件!$H$73</f>
        <v>311679.57482814498</v>
      </c>
      <c r="H339" s="507">
        <f>H334*地域経済性分析・初期条件!$H$73</f>
        <v>311679.57482814498</v>
      </c>
      <c r="I339" s="507">
        <f>I334*地域経済性分析・初期条件!$H$73</f>
        <v>311679.57482814498</v>
      </c>
      <c r="J339" s="507">
        <f>J334*地域経済性分析・初期条件!$H$73</f>
        <v>311679.57482814498</v>
      </c>
      <c r="K339" s="507">
        <f>K334*地域経済性分析・初期条件!$H$73</f>
        <v>311679.57482814498</v>
      </c>
      <c r="L339" s="507">
        <f>L334*地域経済性分析・初期条件!$H$73</f>
        <v>311679.57482814498</v>
      </c>
      <c r="M339" s="507">
        <f>M334*地域経済性分析・初期条件!$H$73</f>
        <v>311679.57482814498</v>
      </c>
      <c r="N339" s="507">
        <f>N334*地域経済性分析・初期条件!$H$73</f>
        <v>311679.57482814498</v>
      </c>
      <c r="O339" s="507">
        <f>O334*地域経済性分析・初期条件!$H$73</f>
        <v>311679.57482814498</v>
      </c>
      <c r="P339" s="507">
        <f>P334*地域経済性分析・初期条件!$H$73</f>
        <v>311679.57482814498</v>
      </c>
      <c r="Q339" s="507">
        <f>Q334*地域経済性分析・初期条件!$H$73</f>
        <v>311679.57482814498</v>
      </c>
      <c r="R339" s="507">
        <f>R334*地域経済性分析・初期条件!$H$73</f>
        <v>311679.57482814498</v>
      </c>
      <c r="S339" s="507">
        <f>S334*地域経済性分析・初期条件!$H$73</f>
        <v>311679.57482814498</v>
      </c>
      <c r="T339" s="507">
        <f>T334*地域経済性分析・初期条件!$H$73</f>
        <v>311679.57482814498</v>
      </c>
      <c r="U339" s="507">
        <f>U334*地域経済性分析・初期条件!$H$73</f>
        <v>311679.57482814498</v>
      </c>
      <c r="V339" s="507">
        <f>V334*地域経済性分析・初期条件!$H$73</f>
        <v>311679.57482814498</v>
      </c>
      <c r="W339" s="507">
        <f>W334*地域経済性分析・初期条件!$H$73</f>
        <v>311679.57482814498</v>
      </c>
      <c r="X339" s="507">
        <f>X334*地域経済性分析・初期条件!$H$73</f>
        <v>311679.57482814498</v>
      </c>
      <c r="Y339" s="507">
        <f>Y334*地域経済性分析・初期条件!$H$73</f>
        <v>311679.57482814498</v>
      </c>
      <c r="Z339" s="507">
        <f>Z334*地域経済性分析・初期条件!$H$73</f>
        <v>311679.57482814498</v>
      </c>
      <c r="AA339" s="507">
        <f>AA334*地域経済性分析・初期条件!$H$73</f>
        <v>311679.57482814498</v>
      </c>
      <c r="AB339" s="507">
        <f>AB334*地域経済性分析・初期条件!$H$73</f>
        <v>311679.57482814498</v>
      </c>
      <c r="AC339" s="507">
        <f>AC334*地域経済性分析・初期条件!$H$73</f>
        <v>311679.57482814498</v>
      </c>
      <c r="AD339" s="507">
        <f>AD334*地域経済性分析・初期条件!$H$73</f>
        <v>311679.57482814498</v>
      </c>
      <c r="AE339" s="507">
        <f>AE334*地域経済性分析・初期条件!$H$73</f>
        <v>311679.57482814498</v>
      </c>
      <c r="AF339" s="507">
        <f>AF334*地域経済性分析・初期条件!$H$73</f>
        <v>311679.57482814498</v>
      </c>
      <c r="AG339" s="507">
        <f>AG334*地域経済性分析・初期条件!$H$73</f>
        <v>311679.57482814498</v>
      </c>
      <c r="AH339" s="507">
        <f>AH334*地域経済性分析・初期条件!$H$73</f>
        <v>311679.57482814498</v>
      </c>
      <c r="AI339" s="548">
        <f t="shared" si="176"/>
        <v>3116795.7482814505</v>
      </c>
      <c r="AJ339" s="548">
        <f t="shared" si="177"/>
        <v>6233591.496562901</v>
      </c>
      <c r="AK339" s="510">
        <f t="shared" si="178"/>
        <v>9350387.2448443491</v>
      </c>
    </row>
    <row r="340" spans="1:37" ht="11.5" x14ac:dyDescent="0.25">
      <c r="A340" s="546" t="str">
        <f>A333&amp;B340</f>
        <v>情報通信業企業の税引後利益（一次）</v>
      </c>
      <c r="B340" s="452" t="s">
        <v>340</v>
      </c>
      <c r="C340" s="464" t="s">
        <v>37</v>
      </c>
      <c r="D340" s="507">
        <f>D334*地域経済性分析・初期条件!$I$73</f>
        <v>0</v>
      </c>
      <c r="E340" s="507">
        <f>E334*地域経済性分析・初期条件!$I$73</f>
        <v>197244.68723082359</v>
      </c>
      <c r="F340" s="507">
        <f>F334*地域経済性分析・初期条件!$I$73</f>
        <v>197244.68723082359</v>
      </c>
      <c r="G340" s="507">
        <f>G334*地域経済性分析・初期条件!$I$73</f>
        <v>197244.68723082359</v>
      </c>
      <c r="H340" s="507">
        <f>H334*地域経済性分析・初期条件!$I$73</f>
        <v>197244.68723082359</v>
      </c>
      <c r="I340" s="507">
        <f>I334*地域経済性分析・初期条件!$I$73</f>
        <v>197244.68723082359</v>
      </c>
      <c r="J340" s="507">
        <f>J334*地域経済性分析・初期条件!$I$73</f>
        <v>197244.68723082359</v>
      </c>
      <c r="K340" s="507">
        <f>K334*地域経済性分析・初期条件!$I$73</f>
        <v>197244.68723082359</v>
      </c>
      <c r="L340" s="507">
        <f>L334*地域経済性分析・初期条件!$I$73</f>
        <v>197244.68723082359</v>
      </c>
      <c r="M340" s="507">
        <f>M334*地域経済性分析・初期条件!$I$73</f>
        <v>197244.68723082359</v>
      </c>
      <c r="N340" s="507">
        <f>N334*地域経済性分析・初期条件!$I$73</f>
        <v>197244.68723082359</v>
      </c>
      <c r="O340" s="507">
        <f>O334*地域経済性分析・初期条件!$I$73</f>
        <v>197244.68723082359</v>
      </c>
      <c r="P340" s="507">
        <f>P334*地域経済性分析・初期条件!$I$73</f>
        <v>197244.68723082359</v>
      </c>
      <c r="Q340" s="507">
        <f>Q334*地域経済性分析・初期条件!$I$73</f>
        <v>197244.68723082359</v>
      </c>
      <c r="R340" s="507">
        <f>R334*地域経済性分析・初期条件!$I$73</f>
        <v>197244.68723082359</v>
      </c>
      <c r="S340" s="507">
        <f>S334*地域経済性分析・初期条件!$I$73</f>
        <v>197244.68723082359</v>
      </c>
      <c r="T340" s="507">
        <f>T334*地域経済性分析・初期条件!$I$73</f>
        <v>197244.68723082359</v>
      </c>
      <c r="U340" s="507">
        <f>U334*地域経済性分析・初期条件!$I$73</f>
        <v>197244.68723082359</v>
      </c>
      <c r="V340" s="507">
        <f>V334*地域経済性分析・初期条件!$I$73</f>
        <v>197244.68723082359</v>
      </c>
      <c r="W340" s="507">
        <f>W334*地域経済性分析・初期条件!$I$73</f>
        <v>197244.68723082359</v>
      </c>
      <c r="X340" s="507">
        <f>X334*地域経済性分析・初期条件!$I$73</f>
        <v>197244.68723082359</v>
      </c>
      <c r="Y340" s="507">
        <f>Y334*地域経済性分析・初期条件!$I$73</f>
        <v>197244.68723082359</v>
      </c>
      <c r="Z340" s="507">
        <f>Z334*地域経済性分析・初期条件!$I$73</f>
        <v>197244.68723082359</v>
      </c>
      <c r="AA340" s="507">
        <f>AA334*地域経済性分析・初期条件!$I$73</f>
        <v>197244.68723082359</v>
      </c>
      <c r="AB340" s="507">
        <f>AB334*地域経済性分析・初期条件!$I$73</f>
        <v>197244.68723082359</v>
      </c>
      <c r="AC340" s="507">
        <f>AC334*地域経済性分析・初期条件!$I$73</f>
        <v>197244.68723082359</v>
      </c>
      <c r="AD340" s="507">
        <f>AD334*地域経済性分析・初期条件!$I$73</f>
        <v>197244.68723082359</v>
      </c>
      <c r="AE340" s="507">
        <f>AE334*地域経済性分析・初期条件!$I$73</f>
        <v>197244.68723082359</v>
      </c>
      <c r="AF340" s="507">
        <f>AF334*地域経済性分析・初期条件!$I$73</f>
        <v>197244.68723082359</v>
      </c>
      <c r="AG340" s="507">
        <f>AG334*地域経済性分析・初期条件!$I$73</f>
        <v>197244.68723082359</v>
      </c>
      <c r="AH340" s="507">
        <f>AH334*地域経済性分析・初期条件!$I$73</f>
        <v>197244.68723082359</v>
      </c>
      <c r="AI340" s="548">
        <f t="shared" si="176"/>
        <v>1972446.8723082358</v>
      </c>
      <c r="AJ340" s="548">
        <f t="shared" si="177"/>
        <v>3944893.7446164717</v>
      </c>
      <c r="AK340" s="510">
        <f t="shared" si="178"/>
        <v>5917340.6169247078</v>
      </c>
    </row>
    <row r="341" spans="1:37" ht="11.5" x14ac:dyDescent="0.25">
      <c r="A341" s="546" t="str">
        <f>A333&amp;B341</f>
        <v>情報通信業都道府県税収（一次）</v>
      </c>
      <c r="B341" s="452" t="s">
        <v>341</v>
      </c>
      <c r="C341" s="464" t="s">
        <v>37</v>
      </c>
      <c r="D341" s="507">
        <f>D334*地域経済性分析・初期条件!$J$73</f>
        <v>0</v>
      </c>
      <c r="E341" s="507">
        <f>E334*地域経済性分析・初期条件!$J$73</f>
        <v>53430.719711427424</v>
      </c>
      <c r="F341" s="507">
        <f>F334*地域経済性分析・初期条件!$J$73</f>
        <v>53430.719711427424</v>
      </c>
      <c r="G341" s="507">
        <f>G334*地域経済性分析・初期条件!$J$73</f>
        <v>53430.719711427424</v>
      </c>
      <c r="H341" s="507">
        <f>H334*地域経済性分析・初期条件!$J$73</f>
        <v>53430.719711427424</v>
      </c>
      <c r="I341" s="507">
        <f>I334*地域経済性分析・初期条件!$J$73</f>
        <v>53430.719711427424</v>
      </c>
      <c r="J341" s="507">
        <f>J334*地域経済性分析・初期条件!$J$73</f>
        <v>53430.719711427424</v>
      </c>
      <c r="K341" s="507">
        <f>K334*地域経済性分析・初期条件!$J$73</f>
        <v>53430.719711427424</v>
      </c>
      <c r="L341" s="507">
        <f>L334*地域経済性分析・初期条件!$J$73</f>
        <v>53430.719711427424</v>
      </c>
      <c r="M341" s="507">
        <f>M334*地域経済性分析・初期条件!$J$73</f>
        <v>53430.719711427424</v>
      </c>
      <c r="N341" s="507">
        <f>N334*地域経済性分析・初期条件!$J$73</f>
        <v>53430.719711427424</v>
      </c>
      <c r="O341" s="507">
        <f>O334*地域経済性分析・初期条件!$J$73</f>
        <v>53430.719711427424</v>
      </c>
      <c r="P341" s="507">
        <f>P334*地域経済性分析・初期条件!$J$73</f>
        <v>53430.719711427424</v>
      </c>
      <c r="Q341" s="507">
        <f>Q334*地域経済性分析・初期条件!$J$73</f>
        <v>53430.719711427424</v>
      </c>
      <c r="R341" s="507">
        <f>R334*地域経済性分析・初期条件!$J$73</f>
        <v>53430.719711427424</v>
      </c>
      <c r="S341" s="507">
        <f>S334*地域経済性分析・初期条件!$J$73</f>
        <v>53430.719711427424</v>
      </c>
      <c r="T341" s="507">
        <f>T334*地域経済性分析・初期条件!$J$73</f>
        <v>53430.719711427424</v>
      </c>
      <c r="U341" s="507">
        <f>U334*地域経済性分析・初期条件!$J$73</f>
        <v>53430.719711427424</v>
      </c>
      <c r="V341" s="507">
        <f>V334*地域経済性分析・初期条件!$J$73</f>
        <v>53430.719711427424</v>
      </c>
      <c r="W341" s="507">
        <f>W334*地域経済性分析・初期条件!$J$73</f>
        <v>53430.719711427424</v>
      </c>
      <c r="X341" s="507">
        <f>X334*地域経済性分析・初期条件!$J$73</f>
        <v>53430.719711427424</v>
      </c>
      <c r="Y341" s="507">
        <f>Y334*地域経済性分析・初期条件!$J$73</f>
        <v>53430.719711427424</v>
      </c>
      <c r="Z341" s="507">
        <f>Z334*地域経済性分析・初期条件!$J$73</f>
        <v>53430.719711427424</v>
      </c>
      <c r="AA341" s="507">
        <f>AA334*地域経済性分析・初期条件!$J$73</f>
        <v>53430.719711427424</v>
      </c>
      <c r="AB341" s="507">
        <f>AB334*地域経済性分析・初期条件!$J$73</f>
        <v>53430.719711427424</v>
      </c>
      <c r="AC341" s="507">
        <f>AC334*地域経済性分析・初期条件!$J$73</f>
        <v>53430.719711427424</v>
      </c>
      <c r="AD341" s="507">
        <f>AD334*地域経済性分析・初期条件!$J$73</f>
        <v>53430.719711427424</v>
      </c>
      <c r="AE341" s="507">
        <f>AE334*地域経済性分析・初期条件!$J$73</f>
        <v>53430.719711427424</v>
      </c>
      <c r="AF341" s="507">
        <f>AF334*地域経済性分析・初期条件!$J$73</f>
        <v>53430.719711427424</v>
      </c>
      <c r="AG341" s="507">
        <f>AG334*地域経済性分析・初期条件!$J$73</f>
        <v>53430.719711427424</v>
      </c>
      <c r="AH341" s="507">
        <f>AH334*地域経済性分析・初期条件!$J$73</f>
        <v>53430.719711427424</v>
      </c>
      <c r="AI341" s="548">
        <f t="shared" si="176"/>
        <v>534307.19711427414</v>
      </c>
      <c r="AJ341" s="548">
        <f t="shared" si="177"/>
        <v>1068614.3942285487</v>
      </c>
      <c r="AK341" s="510">
        <f t="shared" si="178"/>
        <v>1602921.5913428222</v>
      </c>
    </row>
    <row r="342" spans="1:37" ht="11.5" x14ac:dyDescent="0.25">
      <c r="A342" s="546" t="str">
        <f>A333&amp;B342</f>
        <v>情報通信業市町村税収（一次）</v>
      </c>
      <c r="B342" s="452" t="s">
        <v>342</v>
      </c>
      <c r="C342" s="465" t="s">
        <v>37</v>
      </c>
      <c r="D342" s="507">
        <f>D334*地域経済性分析・初期条件!$K$73</f>
        <v>0</v>
      </c>
      <c r="E342" s="507">
        <f>E334*地域経済性分析・初期条件!$K$73</f>
        <v>21393.766398597611</v>
      </c>
      <c r="F342" s="507">
        <f>F334*地域経済性分析・初期条件!$K$73</f>
        <v>21393.766398597611</v>
      </c>
      <c r="G342" s="507">
        <f>G334*地域経済性分析・初期条件!$K$73</f>
        <v>21393.766398597611</v>
      </c>
      <c r="H342" s="507">
        <f>H334*地域経済性分析・初期条件!$K$73</f>
        <v>21393.766398597611</v>
      </c>
      <c r="I342" s="507">
        <f>I334*地域経済性分析・初期条件!$K$73</f>
        <v>21393.766398597611</v>
      </c>
      <c r="J342" s="507">
        <f>J334*地域経済性分析・初期条件!$K$73</f>
        <v>21393.766398597611</v>
      </c>
      <c r="K342" s="507">
        <f>K334*地域経済性分析・初期条件!$K$73</f>
        <v>21393.766398597611</v>
      </c>
      <c r="L342" s="507">
        <f>L334*地域経済性分析・初期条件!$K$73</f>
        <v>21393.766398597611</v>
      </c>
      <c r="M342" s="507">
        <f>M334*地域経済性分析・初期条件!$K$73</f>
        <v>21393.766398597611</v>
      </c>
      <c r="N342" s="507">
        <f>N334*地域経済性分析・初期条件!$K$73</f>
        <v>21393.766398597611</v>
      </c>
      <c r="O342" s="507">
        <f>O334*地域経済性分析・初期条件!$K$73</f>
        <v>21393.766398597611</v>
      </c>
      <c r="P342" s="507">
        <f>P334*地域経済性分析・初期条件!$K$73</f>
        <v>21393.766398597611</v>
      </c>
      <c r="Q342" s="507">
        <f>Q334*地域経済性分析・初期条件!$K$73</f>
        <v>21393.766398597611</v>
      </c>
      <c r="R342" s="507">
        <f>R334*地域経済性分析・初期条件!$K$73</f>
        <v>21393.766398597611</v>
      </c>
      <c r="S342" s="507">
        <f>S334*地域経済性分析・初期条件!$K$73</f>
        <v>21393.766398597611</v>
      </c>
      <c r="T342" s="507">
        <f>T334*地域経済性分析・初期条件!$K$73</f>
        <v>21393.766398597611</v>
      </c>
      <c r="U342" s="507">
        <f>U334*地域経済性分析・初期条件!$K$73</f>
        <v>21393.766398597611</v>
      </c>
      <c r="V342" s="507">
        <f>V334*地域経済性分析・初期条件!$K$73</f>
        <v>21393.766398597611</v>
      </c>
      <c r="W342" s="507">
        <f>W334*地域経済性分析・初期条件!$K$73</f>
        <v>21393.766398597611</v>
      </c>
      <c r="X342" s="507">
        <f>X334*地域経済性分析・初期条件!$K$73</f>
        <v>21393.766398597611</v>
      </c>
      <c r="Y342" s="507">
        <f>Y334*地域経済性分析・初期条件!$K$73</f>
        <v>21393.766398597611</v>
      </c>
      <c r="Z342" s="507">
        <f>Z334*地域経済性分析・初期条件!$K$73</f>
        <v>21393.766398597611</v>
      </c>
      <c r="AA342" s="507">
        <f>AA334*地域経済性分析・初期条件!$K$73</f>
        <v>21393.766398597611</v>
      </c>
      <c r="AB342" s="507">
        <f>AB334*地域経済性分析・初期条件!$K$73</f>
        <v>21393.766398597611</v>
      </c>
      <c r="AC342" s="507">
        <f>AC334*地域経済性分析・初期条件!$K$73</f>
        <v>21393.766398597611</v>
      </c>
      <c r="AD342" s="507">
        <f>AD334*地域経済性分析・初期条件!$K$73</f>
        <v>21393.766398597611</v>
      </c>
      <c r="AE342" s="507">
        <f>AE334*地域経済性分析・初期条件!$K$73</f>
        <v>21393.766398597611</v>
      </c>
      <c r="AF342" s="507">
        <f>AF334*地域経済性分析・初期条件!$K$73</f>
        <v>21393.766398597611</v>
      </c>
      <c r="AG342" s="507">
        <f>AG334*地域経済性分析・初期条件!$K$73</f>
        <v>21393.766398597611</v>
      </c>
      <c r="AH342" s="507">
        <f>AH334*地域経済性分析・初期条件!$K$73</f>
        <v>21393.766398597611</v>
      </c>
      <c r="AI342" s="548">
        <f t="shared" si="176"/>
        <v>213937.66398597613</v>
      </c>
      <c r="AJ342" s="548">
        <f t="shared" si="177"/>
        <v>427875.32797195239</v>
      </c>
      <c r="AK342" s="510">
        <f t="shared" si="178"/>
        <v>641812.99195792864</v>
      </c>
    </row>
    <row r="343" spans="1:37" ht="11.5" x14ac:dyDescent="0.25">
      <c r="A343" s="546" t="str">
        <f>A333&amp;B343</f>
        <v>情報通信業従業員の可処分所得（二次以降）</v>
      </c>
      <c r="B343" s="452" t="s">
        <v>344</v>
      </c>
      <c r="C343" s="465" t="s">
        <v>37</v>
      </c>
      <c r="D343" s="507">
        <f>D334*地域経済性分析・初期条件!$L$73</f>
        <v>0</v>
      </c>
      <c r="E343" s="507">
        <f>E334*地域経済性分析・初期条件!$L$73</f>
        <v>177028.10456200122</v>
      </c>
      <c r="F343" s="507">
        <f>F334*地域経済性分析・初期条件!$L$73</f>
        <v>177028.10456200122</v>
      </c>
      <c r="G343" s="507">
        <f>G334*地域経済性分析・初期条件!$L$73</f>
        <v>177028.10456200122</v>
      </c>
      <c r="H343" s="507">
        <f>H334*地域経済性分析・初期条件!$L$73</f>
        <v>177028.10456200122</v>
      </c>
      <c r="I343" s="507">
        <f>I334*地域経済性分析・初期条件!$L$73</f>
        <v>177028.10456200122</v>
      </c>
      <c r="J343" s="507">
        <f>J334*地域経済性分析・初期条件!$L$73</f>
        <v>177028.10456200122</v>
      </c>
      <c r="K343" s="507">
        <f>K334*地域経済性分析・初期条件!$L$73</f>
        <v>177028.10456200122</v>
      </c>
      <c r="L343" s="507">
        <f>L334*地域経済性分析・初期条件!$L$73</f>
        <v>177028.10456200122</v>
      </c>
      <c r="M343" s="507">
        <f>M334*地域経済性分析・初期条件!$L$73</f>
        <v>177028.10456200122</v>
      </c>
      <c r="N343" s="507">
        <f>N334*地域経済性分析・初期条件!$L$73</f>
        <v>177028.10456200122</v>
      </c>
      <c r="O343" s="507">
        <f>O334*地域経済性分析・初期条件!$L$73</f>
        <v>177028.10456200122</v>
      </c>
      <c r="P343" s="507">
        <f>P334*地域経済性分析・初期条件!$L$73</f>
        <v>177028.10456200122</v>
      </c>
      <c r="Q343" s="507">
        <f>Q334*地域経済性分析・初期条件!$L$73</f>
        <v>177028.10456200122</v>
      </c>
      <c r="R343" s="507">
        <f>R334*地域経済性分析・初期条件!$L$73</f>
        <v>177028.10456200122</v>
      </c>
      <c r="S343" s="507">
        <f>S334*地域経済性分析・初期条件!$L$73</f>
        <v>177028.10456200122</v>
      </c>
      <c r="T343" s="507">
        <f>T334*地域経済性分析・初期条件!$L$73</f>
        <v>177028.10456200122</v>
      </c>
      <c r="U343" s="507">
        <f>U334*地域経済性分析・初期条件!$L$73</f>
        <v>177028.10456200122</v>
      </c>
      <c r="V343" s="507">
        <f>V334*地域経済性分析・初期条件!$L$73</f>
        <v>177028.10456200122</v>
      </c>
      <c r="W343" s="507">
        <f>W334*地域経済性分析・初期条件!$L$73</f>
        <v>177028.10456200122</v>
      </c>
      <c r="X343" s="507">
        <f>X334*地域経済性分析・初期条件!$L$73</f>
        <v>177028.10456200122</v>
      </c>
      <c r="Y343" s="507">
        <f>Y334*地域経済性分析・初期条件!$L$73</f>
        <v>177028.10456200122</v>
      </c>
      <c r="Z343" s="507">
        <f>Z334*地域経済性分析・初期条件!$L$73</f>
        <v>177028.10456200122</v>
      </c>
      <c r="AA343" s="507">
        <f>AA334*地域経済性分析・初期条件!$L$73</f>
        <v>177028.10456200122</v>
      </c>
      <c r="AB343" s="507">
        <f>AB334*地域経済性分析・初期条件!$L$73</f>
        <v>177028.10456200122</v>
      </c>
      <c r="AC343" s="507">
        <f>AC334*地域経済性分析・初期条件!$L$73</f>
        <v>177028.10456200122</v>
      </c>
      <c r="AD343" s="507">
        <f>AD334*地域経済性分析・初期条件!$L$73</f>
        <v>177028.10456200122</v>
      </c>
      <c r="AE343" s="507">
        <f>AE334*地域経済性分析・初期条件!$L$73</f>
        <v>177028.10456200122</v>
      </c>
      <c r="AF343" s="507">
        <f>AF334*地域経済性分析・初期条件!$L$73</f>
        <v>177028.10456200122</v>
      </c>
      <c r="AG343" s="507">
        <f>AG334*地域経済性分析・初期条件!$L$73</f>
        <v>177028.10456200122</v>
      </c>
      <c r="AH343" s="507">
        <f>AH334*地域経済性分析・初期条件!$L$73</f>
        <v>177028.10456200122</v>
      </c>
      <c r="AI343" s="548">
        <f>SUM(D343:N343)</f>
        <v>1770281.0456200126</v>
      </c>
      <c r="AJ343" s="548">
        <f>SUM(D343:X343)</f>
        <v>3540562.0912400256</v>
      </c>
      <c r="AK343" s="510">
        <f>SUM(D343:AH343)</f>
        <v>5310843.1368600382</v>
      </c>
    </row>
    <row r="344" spans="1:37" ht="11.5" x14ac:dyDescent="0.25">
      <c r="A344" s="546" t="str">
        <f>A333&amp;B344</f>
        <v>情報通信業企業の税引後利益（二次以降）</v>
      </c>
      <c r="B344" s="452" t="s">
        <v>345</v>
      </c>
      <c r="C344" s="465" t="s">
        <v>37</v>
      </c>
      <c r="D344" s="507">
        <f>D334*地域経済性分析・初期条件!$M$73</f>
        <v>0</v>
      </c>
      <c r="E344" s="507">
        <f>E334*地域経済性分析・初期条件!$M$73</f>
        <v>120074.71034565046</v>
      </c>
      <c r="F344" s="507">
        <f>F334*地域経済性分析・初期条件!$M$73</f>
        <v>120074.71034565046</v>
      </c>
      <c r="G344" s="507">
        <f>G334*地域経済性分析・初期条件!$M$73</f>
        <v>120074.71034565046</v>
      </c>
      <c r="H344" s="507">
        <f>H334*地域経済性分析・初期条件!$M$73</f>
        <v>120074.71034565046</v>
      </c>
      <c r="I344" s="507">
        <f>I334*地域経済性分析・初期条件!$M$73</f>
        <v>120074.71034565046</v>
      </c>
      <c r="J344" s="507">
        <f>J334*地域経済性分析・初期条件!$M$73</f>
        <v>120074.71034565046</v>
      </c>
      <c r="K344" s="507">
        <f>K334*地域経済性分析・初期条件!$M$73</f>
        <v>120074.71034565046</v>
      </c>
      <c r="L344" s="507">
        <f>L334*地域経済性分析・初期条件!$M$73</f>
        <v>120074.71034565046</v>
      </c>
      <c r="M344" s="507">
        <f>M334*地域経済性分析・初期条件!$M$73</f>
        <v>120074.71034565046</v>
      </c>
      <c r="N344" s="507">
        <f>N334*地域経済性分析・初期条件!$M$73</f>
        <v>120074.71034565046</v>
      </c>
      <c r="O344" s="507">
        <f>O334*地域経済性分析・初期条件!$M$73</f>
        <v>120074.71034565046</v>
      </c>
      <c r="P344" s="507">
        <f>P334*地域経済性分析・初期条件!$M$73</f>
        <v>120074.71034565046</v>
      </c>
      <c r="Q344" s="507">
        <f>Q334*地域経済性分析・初期条件!$M$73</f>
        <v>120074.71034565046</v>
      </c>
      <c r="R344" s="507">
        <f>R334*地域経済性分析・初期条件!$M$73</f>
        <v>120074.71034565046</v>
      </c>
      <c r="S344" s="507">
        <f>S334*地域経済性分析・初期条件!$M$73</f>
        <v>120074.71034565046</v>
      </c>
      <c r="T344" s="507">
        <f>T334*地域経済性分析・初期条件!$M$73</f>
        <v>120074.71034565046</v>
      </c>
      <c r="U344" s="507">
        <f>U334*地域経済性分析・初期条件!$M$73</f>
        <v>120074.71034565046</v>
      </c>
      <c r="V344" s="507">
        <f>V334*地域経済性分析・初期条件!$M$73</f>
        <v>120074.71034565046</v>
      </c>
      <c r="W344" s="507">
        <f>W334*地域経済性分析・初期条件!$M$73</f>
        <v>120074.71034565046</v>
      </c>
      <c r="X344" s="507">
        <f>X334*地域経済性分析・初期条件!$M$73</f>
        <v>120074.71034565046</v>
      </c>
      <c r="Y344" s="507">
        <f>Y334*地域経済性分析・初期条件!$M$73</f>
        <v>120074.71034565046</v>
      </c>
      <c r="Z344" s="507">
        <f>Z334*地域経済性分析・初期条件!$M$73</f>
        <v>120074.71034565046</v>
      </c>
      <c r="AA344" s="507">
        <f>AA334*地域経済性分析・初期条件!$M$73</f>
        <v>120074.71034565046</v>
      </c>
      <c r="AB344" s="507">
        <f>AB334*地域経済性分析・初期条件!$M$73</f>
        <v>120074.71034565046</v>
      </c>
      <c r="AC344" s="507">
        <f>AC334*地域経済性分析・初期条件!$M$73</f>
        <v>120074.71034565046</v>
      </c>
      <c r="AD344" s="507">
        <f>AD334*地域経済性分析・初期条件!$M$73</f>
        <v>120074.71034565046</v>
      </c>
      <c r="AE344" s="507">
        <f>AE334*地域経済性分析・初期条件!$M$73</f>
        <v>120074.71034565046</v>
      </c>
      <c r="AF344" s="507">
        <f>AF334*地域経済性分析・初期条件!$M$73</f>
        <v>120074.71034565046</v>
      </c>
      <c r="AG344" s="507">
        <f>AG334*地域経済性分析・初期条件!$M$73</f>
        <v>120074.71034565046</v>
      </c>
      <c r="AH344" s="507">
        <f>AH334*地域経済性分析・初期条件!$M$73</f>
        <v>120074.71034565046</v>
      </c>
      <c r="AI344" s="548">
        <f>SUM(D344:N344)</f>
        <v>1200747.1034565046</v>
      </c>
      <c r="AJ344" s="548">
        <f>SUM(D344:X344)</f>
        <v>2401494.2069130102</v>
      </c>
      <c r="AK344" s="510">
        <f>SUM(D344:AH344)</f>
        <v>3602241.3103695158</v>
      </c>
    </row>
    <row r="345" spans="1:37" ht="11.5" x14ac:dyDescent="0.25">
      <c r="A345" s="546" t="str">
        <f>A333&amp;B345</f>
        <v>情報通信業都道府県税収（二次以降）</v>
      </c>
      <c r="B345" s="452" t="s">
        <v>346</v>
      </c>
      <c r="C345" s="465" t="s">
        <v>37</v>
      </c>
      <c r="D345" s="507">
        <f>D334*地域経済性分析・初期条件!$N$73</f>
        <v>0</v>
      </c>
      <c r="E345" s="507">
        <f>E334*地域経済性分析・初期条件!$N$73</f>
        <v>31409.510135429115</v>
      </c>
      <c r="F345" s="507">
        <f>F334*地域経済性分析・初期条件!$N$73</f>
        <v>31409.510135429115</v>
      </c>
      <c r="G345" s="507">
        <f>G334*地域経済性分析・初期条件!$N$73</f>
        <v>31409.510135429115</v>
      </c>
      <c r="H345" s="507">
        <f>H334*地域経済性分析・初期条件!$N$73</f>
        <v>31409.510135429115</v>
      </c>
      <c r="I345" s="507">
        <f>I334*地域経済性分析・初期条件!$N$73</f>
        <v>31409.510135429115</v>
      </c>
      <c r="J345" s="507">
        <f>J334*地域経済性分析・初期条件!$N$73</f>
        <v>31409.510135429115</v>
      </c>
      <c r="K345" s="507">
        <f>K334*地域経済性分析・初期条件!$N$73</f>
        <v>31409.510135429115</v>
      </c>
      <c r="L345" s="507">
        <f>L334*地域経済性分析・初期条件!$N$73</f>
        <v>31409.510135429115</v>
      </c>
      <c r="M345" s="507">
        <f>M334*地域経済性分析・初期条件!$N$73</f>
        <v>31409.510135429115</v>
      </c>
      <c r="N345" s="507">
        <f>N334*地域経済性分析・初期条件!$N$73</f>
        <v>31409.510135429115</v>
      </c>
      <c r="O345" s="507">
        <f>O334*地域経済性分析・初期条件!$N$73</f>
        <v>31409.510135429115</v>
      </c>
      <c r="P345" s="507">
        <f>P334*地域経済性分析・初期条件!$N$73</f>
        <v>31409.510135429115</v>
      </c>
      <c r="Q345" s="507">
        <f>Q334*地域経済性分析・初期条件!$N$73</f>
        <v>31409.510135429115</v>
      </c>
      <c r="R345" s="507">
        <f>R334*地域経済性分析・初期条件!$N$73</f>
        <v>31409.510135429115</v>
      </c>
      <c r="S345" s="507">
        <f>S334*地域経済性分析・初期条件!$N$73</f>
        <v>31409.510135429115</v>
      </c>
      <c r="T345" s="507">
        <f>T334*地域経済性分析・初期条件!$N$73</f>
        <v>31409.510135429115</v>
      </c>
      <c r="U345" s="507">
        <f>U334*地域経済性分析・初期条件!$N$73</f>
        <v>31409.510135429115</v>
      </c>
      <c r="V345" s="507">
        <f>V334*地域経済性分析・初期条件!$N$73</f>
        <v>31409.510135429115</v>
      </c>
      <c r="W345" s="507">
        <f>W334*地域経済性分析・初期条件!$N$73</f>
        <v>31409.510135429115</v>
      </c>
      <c r="X345" s="507">
        <f>X334*地域経済性分析・初期条件!$N$73</f>
        <v>31409.510135429115</v>
      </c>
      <c r="Y345" s="507">
        <f>Y334*地域経済性分析・初期条件!$N$73</f>
        <v>31409.510135429115</v>
      </c>
      <c r="Z345" s="507">
        <f>Z334*地域経済性分析・初期条件!$N$73</f>
        <v>31409.510135429115</v>
      </c>
      <c r="AA345" s="507">
        <f>AA334*地域経済性分析・初期条件!$N$73</f>
        <v>31409.510135429115</v>
      </c>
      <c r="AB345" s="507">
        <f>AB334*地域経済性分析・初期条件!$N$73</f>
        <v>31409.510135429115</v>
      </c>
      <c r="AC345" s="507">
        <f>AC334*地域経済性分析・初期条件!$N$73</f>
        <v>31409.510135429115</v>
      </c>
      <c r="AD345" s="507">
        <f>AD334*地域経済性分析・初期条件!$N$73</f>
        <v>31409.510135429115</v>
      </c>
      <c r="AE345" s="507">
        <f>AE334*地域経済性分析・初期条件!$N$73</f>
        <v>31409.510135429115</v>
      </c>
      <c r="AF345" s="507">
        <f>AF334*地域経済性分析・初期条件!$N$73</f>
        <v>31409.510135429115</v>
      </c>
      <c r="AG345" s="507">
        <f>AG334*地域経済性分析・初期条件!$N$73</f>
        <v>31409.510135429115</v>
      </c>
      <c r="AH345" s="507">
        <f>AH334*地域経済性分析・初期条件!$N$73</f>
        <v>31409.510135429115</v>
      </c>
      <c r="AI345" s="548">
        <f>SUM(D345:N345)</f>
        <v>314095.10135429114</v>
      </c>
      <c r="AJ345" s="548">
        <f>SUM(D345:X345)</f>
        <v>628190.20270858216</v>
      </c>
      <c r="AK345" s="510">
        <f>SUM(D345:AH345)</f>
        <v>942285.30406287313</v>
      </c>
    </row>
    <row r="346" spans="1:37" ht="11.5" x14ac:dyDescent="0.25">
      <c r="A346" s="546" t="str">
        <f>A333&amp;B346</f>
        <v>情報通信業市町村税収（二次以降）</v>
      </c>
      <c r="B346" s="452" t="s">
        <v>347</v>
      </c>
      <c r="C346" s="465" t="s">
        <v>37</v>
      </c>
      <c r="D346" s="507">
        <f>D334*地域経済性分析・初期条件!$O$73</f>
        <v>0</v>
      </c>
      <c r="E346" s="507">
        <f>E334*地域経済性分析・初期条件!$O$73</f>
        <v>12274.651890636267</v>
      </c>
      <c r="F346" s="507">
        <f>F334*地域経済性分析・初期条件!$O$73</f>
        <v>12274.651890636267</v>
      </c>
      <c r="G346" s="507">
        <f>G334*地域経済性分析・初期条件!$O$73</f>
        <v>12274.651890636267</v>
      </c>
      <c r="H346" s="507">
        <f>H334*地域経済性分析・初期条件!$O$73</f>
        <v>12274.651890636267</v>
      </c>
      <c r="I346" s="507">
        <f>I334*地域経済性分析・初期条件!$O$73</f>
        <v>12274.651890636267</v>
      </c>
      <c r="J346" s="507">
        <f>J334*地域経済性分析・初期条件!$O$73</f>
        <v>12274.651890636267</v>
      </c>
      <c r="K346" s="507">
        <f>K334*地域経済性分析・初期条件!$O$73</f>
        <v>12274.651890636267</v>
      </c>
      <c r="L346" s="507">
        <f>L334*地域経済性分析・初期条件!$O$73</f>
        <v>12274.651890636267</v>
      </c>
      <c r="M346" s="507">
        <f>M334*地域経済性分析・初期条件!$O$73</f>
        <v>12274.651890636267</v>
      </c>
      <c r="N346" s="507">
        <f>N334*地域経済性分析・初期条件!$O$73</f>
        <v>12274.651890636267</v>
      </c>
      <c r="O346" s="507">
        <f>O334*地域経済性分析・初期条件!$O$73</f>
        <v>12274.651890636267</v>
      </c>
      <c r="P346" s="507">
        <f>P334*地域経済性分析・初期条件!$O$73</f>
        <v>12274.651890636267</v>
      </c>
      <c r="Q346" s="507">
        <f>Q334*地域経済性分析・初期条件!$O$73</f>
        <v>12274.651890636267</v>
      </c>
      <c r="R346" s="507">
        <f>R334*地域経済性分析・初期条件!$O$73</f>
        <v>12274.651890636267</v>
      </c>
      <c r="S346" s="507">
        <f>S334*地域経済性分析・初期条件!$O$73</f>
        <v>12274.651890636267</v>
      </c>
      <c r="T346" s="507">
        <f>T334*地域経済性分析・初期条件!$O$73</f>
        <v>12274.651890636267</v>
      </c>
      <c r="U346" s="507">
        <f>U334*地域経済性分析・初期条件!$O$73</f>
        <v>12274.651890636267</v>
      </c>
      <c r="V346" s="507">
        <f>V334*地域経済性分析・初期条件!$O$73</f>
        <v>12274.651890636267</v>
      </c>
      <c r="W346" s="507">
        <f>W334*地域経済性分析・初期条件!$O$73</f>
        <v>12274.651890636267</v>
      </c>
      <c r="X346" s="507">
        <f>X334*地域経済性分析・初期条件!$O$73</f>
        <v>12274.651890636267</v>
      </c>
      <c r="Y346" s="507">
        <f>Y334*地域経済性分析・初期条件!$O$73</f>
        <v>12274.651890636267</v>
      </c>
      <c r="Z346" s="507">
        <f>Z334*地域経済性分析・初期条件!$O$73</f>
        <v>12274.651890636267</v>
      </c>
      <c r="AA346" s="507">
        <f>AA334*地域経済性分析・初期条件!$O$73</f>
        <v>12274.651890636267</v>
      </c>
      <c r="AB346" s="507">
        <f>AB334*地域経済性分析・初期条件!$O$73</f>
        <v>12274.651890636267</v>
      </c>
      <c r="AC346" s="507">
        <f>AC334*地域経済性分析・初期条件!$O$73</f>
        <v>12274.651890636267</v>
      </c>
      <c r="AD346" s="507">
        <f>AD334*地域経済性分析・初期条件!$O$73</f>
        <v>12274.651890636267</v>
      </c>
      <c r="AE346" s="507">
        <f>AE334*地域経済性分析・初期条件!$O$73</f>
        <v>12274.651890636267</v>
      </c>
      <c r="AF346" s="507">
        <f>AF334*地域経済性分析・初期条件!$O$73</f>
        <v>12274.651890636267</v>
      </c>
      <c r="AG346" s="507">
        <f>AG334*地域経済性分析・初期条件!$O$73</f>
        <v>12274.651890636267</v>
      </c>
      <c r="AH346" s="507">
        <f>AH334*地域経済性分析・初期条件!$O$73</f>
        <v>12274.651890636267</v>
      </c>
      <c r="AI346" s="548">
        <f>SUM(D346:N346)</f>
        <v>122746.51890636265</v>
      </c>
      <c r="AJ346" s="548">
        <f>SUM(D346:X346)</f>
        <v>245493.03781272541</v>
      </c>
      <c r="AK346" s="510">
        <f>SUM(D346:AH346)</f>
        <v>368239.55671908794</v>
      </c>
    </row>
    <row r="347" spans="1:37" ht="11.5" x14ac:dyDescent="0.25">
      <c r="A347" s="502" t="str">
        <f>地域経済性分析・初期条件!$G$74</f>
        <v>損害保険業</v>
      </c>
      <c r="C347" s="465"/>
      <c r="D347" s="507"/>
      <c r="E347" s="507"/>
      <c r="F347" s="478"/>
      <c r="G347" s="478"/>
      <c r="H347" s="478"/>
      <c r="I347" s="478"/>
      <c r="J347" s="478"/>
      <c r="K347" s="478"/>
      <c r="L347" s="478"/>
      <c r="M347" s="478"/>
      <c r="N347" s="478"/>
      <c r="O347" s="478"/>
      <c r="P347" s="478"/>
      <c r="Q347" s="478"/>
      <c r="R347" s="478"/>
      <c r="S347" s="478"/>
      <c r="T347" s="478"/>
      <c r="U347" s="478"/>
      <c r="V347" s="478"/>
      <c r="W347" s="478"/>
      <c r="X347" s="478"/>
      <c r="Y347" s="478"/>
      <c r="Z347" s="478"/>
      <c r="AA347" s="478"/>
      <c r="AB347" s="478"/>
      <c r="AC347" s="478"/>
      <c r="AD347" s="478"/>
      <c r="AE347" s="478"/>
      <c r="AF347" s="478"/>
      <c r="AG347" s="478"/>
      <c r="AH347" s="478"/>
      <c r="AI347" s="548"/>
      <c r="AJ347" s="548"/>
      <c r="AK347" s="510"/>
    </row>
    <row r="348" spans="1:37" ht="11.5" x14ac:dyDescent="0.25">
      <c r="A348" s="546" t="str">
        <f>A347&amp;B348</f>
        <v>損害保険業売上（税別）</v>
      </c>
      <c r="B348" s="452" t="s">
        <v>1047</v>
      </c>
      <c r="C348" s="464" t="s">
        <v>37</v>
      </c>
      <c r="D348" s="507">
        <f>D332*地域経済性分析・初期条件!$F$74</f>
        <v>0</v>
      </c>
      <c r="E348" s="507">
        <f>E332*地域経済性分析・初期条件!$F$74</f>
        <v>2739325.2640154399</v>
      </c>
      <c r="F348" s="507">
        <f>F332*地域経済性分析・初期条件!$F$74</f>
        <v>2739325.2640154399</v>
      </c>
      <c r="G348" s="507">
        <f>G332*地域経済性分析・初期条件!$F$74</f>
        <v>2739325.2640154399</v>
      </c>
      <c r="H348" s="507">
        <f>H332*地域経済性分析・初期条件!$F$74</f>
        <v>2739325.2640154399</v>
      </c>
      <c r="I348" s="507">
        <f>I332*地域経済性分析・初期条件!$F$74</f>
        <v>2739325.2640154399</v>
      </c>
      <c r="J348" s="507">
        <f>J332*地域経済性分析・初期条件!$F$74</f>
        <v>2739325.2640154399</v>
      </c>
      <c r="K348" s="507">
        <f>K332*地域経済性分析・初期条件!$F$74</f>
        <v>2739325.2640154399</v>
      </c>
      <c r="L348" s="507">
        <f>L332*地域経済性分析・初期条件!$F$74</f>
        <v>2739325.2640154399</v>
      </c>
      <c r="M348" s="507">
        <f>M332*地域経済性分析・初期条件!$F$74</f>
        <v>2739325.2640154399</v>
      </c>
      <c r="N348" s="507">
        <f>N332*地域経済性分析・初期条件!$F$74</f>
        <v>2739325.2640154399</v>
      </c>
      <c r="O348" s="507">
        <f>O332*地域経済性分析・初期条件!$F$74</f>
        <v>2739325.2640154399</v>
      </c>
      <c r="P348" s="507">
        <f>P332*地域経済性分析・初期条件!$F$74</f>
        <v>2739325.2640154399</v>
      </c>
      <c r="Q348" s="507">
        <f>Q332*地域経済性分析・初期条件!$F$74</f>
        <v>2739325.2640154399</v>
      </c>
      <c r="R348" s="507">
        <f>R332*地域経済性分析・初期条件!$F$74</f>
        <v>2739325.2640154399</v>
      </c>
      <c r="S348" s="507">
        <f>S332*地域経済性分析・初期条件!$F$74</f>
        <v>2739325.2640154399</v>
      </c>
      <c r="T348" s="507">
        <f>T332*地域経済性分析・初期条件!$F$74</f>
        <v>2739325.2640154399</v>
      </c>
      <c r="U348" s="507">
        <f>U332*地域経済性分析・初期条件!$F$74</f>
        <v>2739325.2640154399</v>
      </c>
      <c r="V348" s="507">
        <f>V332*地域経済性分析・初期条件!$F$74</f>
        <v>2739325.2640154399</v>
      </c>
      <c r="W348" s="507">
        <f>W332*地域経済性分析・初期条件!$F$74</f>
        <v>2739325.2640154399</v>
      </c>
      <c r="X348" s="507">
        <f>X332*地域経済性分析・初期条件!$F$74</f>
        <v>2739325.2640154399</v>
      </c>
      <c r="Y348" s="507">
        <f>Y332*地域経済性分析・初期条件!$F$74</f>
        <v>2739325.2640154399</v>
      </c>
      <c r="Z348" s="507">
        <f>Z332*地域経済性分析・初期条件!$F$74</f>
        <v>2739325.2640154399</v>
      </c>
      <c r="AA348" s="507">
        <f>AA332*地域経済性分析・初期条件!$F$74</f>
        <v>2739325.2640154399</v>
      </c>
      <c r="AB348" s="507">
        <f>AB332*地域経済性分析・初期条件!$F$74</f>
        <v>2739325.2640154399</v>
      </c>
      <c r="AC348" s="507">
        <f>AC332*地域経済性分析・初期条件!$F$74</f>
        <v>2739325.2640154399</v>
      </c>
      <c r="AD348" s="507">
        <f>AD332*地域経済性分析・初期条件!$F$74</f>
        <v>2739325.2640154399</v>
      </c>
      <c r="AE348" s="507">
        <f>AE332*地域経済性分析・初期条件!$F$74</f>
        <v>2739325.2640154399</v>
      </c>
      <c r="AF348" s="507">
        <f>AF332*地域経済性分析・初期条件!$F$74</f>
        <v>2739325.2640154399</v>
      </c>
      <c r="AG348" s="507">
        <f>AG332*地域経済性分析・初期条件!$F$74</f>
        <v>2739325.2640154399</v>
      </c>
      <c r="AH348" s="507">
        <f>AH332*地域経済性分析・初期条件!$F$74</f>
        <v>2739325.2640154399</v>
      </c>
      <c r="AI348" s="548">
        <f t="shared" ref="AI348:AI356" si="179">SUM(D348:N348)</f>
        <v>27393252.640154399</v>
      </c>
      <c r="AJ348" s="548">
        <f>SUM(D348:X348)</f>
        <v>54786505.280308768</v>
      </c>
      <c r="AK348" s="510">
        <f>SUM(D348:AH348)</f>
        <v>82179757.92046313</v>
      </c>
    </row>
    <row r="349" spans="1:37" ht="11.5" x14ac:dyDescent="0.25">
      <c r="A349" s="546" t="str">
        <f>A347&amp;B349</f>
        <v>損害保険業消費税（都道府県）</v>
      </c>
      <c r="B349" s="452" t="s">
        <v>263</v>
      </c>
      <c r="C349" s="464" t="s">
        <v>37</v>
      </c>
      <c r="D349" s="507">
        <f>D348*波及効果シート!$D$72</f>
        <v>0</v>
      </c>
      <c r="E349" s="507">
        <f>E348*波及効果シート!$D$72</f>
        <v>30132.577904169837</v>
      </c>
      <c r="F349" s="507">
        <f>F348*波及効果シート!$D$72</f>
        <v>30132.577904169837</v>
      </c>
      <c r="G349" s="507">
        <f>G348*波及効果シート!$D$72</f>
        <v>30132.577904169837</v>
      </c>
      <c r="H349" s="507">
        <f>H348*波及効果シート!$D$72</f>
        <v>30132.577904169837</v>
      </c>
      <c r="I349" s="507">
        <f>I348*波及効果シート!$D$72</f>
        <v>30132.577904169837</v>
      </c>
      <c r="J349" s="507">
        <f>J348*波及効果シート!$D$72</f>
        <v>30132.577904169837</v>
      </c>
      <c r="K349" s="507">
        <f>K348*波及効果シート!$D$72</f>
        <v>30132.577904169837</v>
      </c>
      <c r="L349" s="507">
        <f>L348*波及効果シート!$D$72</f>
        <v>30132.577904169837</v>
      </c>
      <c r="M349" s="507">
        <f>M348*波及効果シート!$D$72</f>
        <v>30132.577904169837</v>
      </c>
      <c r="N349" s="507">
        <f>N348*波及効果シート!$D$72</f>
        <v>30132.577904169837</v>
      </c>
      <c r="O349" s="507">
        <f>O348*波及効果シート!$D$72</f>
        <v>30132.577904169837</v>
      </c>
      <c r="P349" s="507">
        <f>P348*波及効果シート!$D$72</f>
        <v>30132.577904169837</v>
      </c>
      <c r="Q349" s="507">
        <f>Q348*波及効果シート!$D$72</f>
        <v>30132.577904169837</v>
      </c>
      <c r="R349" s="507">
        <f>R348*波及効果シート!$D$72</f>
        <v>30132.577904169837</v>
      </c>
      <c r="S349" s="507">
        <f>S348*波及効果シート!$D$72</f>
        <v>30132.577904169837</v>
      </c>
      <c r="T349" s="507">
        <f>T348*波及効果シート!$D$72</f>
        <v>30132.577904169837</v>
      </c>
      <c r="U349" s="507">
        <f>U348*波及効果シート!$D$72</f>
        <v>30132.577904169837</v>
      </c>
      <c r="V349" s="507">
        <f>V348*波及効果シート!$D$72</f>
        <v>30132.577904169837</v>
      </c>
      <c r="W349" s="507">
        <f>W348*波及効果シート!$D$72</f>
        <v>30132.577904169837</v>
      </c>
      <c r="X349" s="507">
        <f>X348*波及効果シート!$D$72</f>
        <v>30132.577904169837</v>
      </c>
      <c r="Y349" s="507">
        <f>Y348*波及効果シート!$D$72</f>
        <v>30132.577904169837</v>
      </c>
      <c r="Z349" s="507">
        <f>Z348*波及効果シート!$D$72</f>
        <v>30132.577904169837</v>
      </c>
      <c r="AA349" s="507">
        <f>AA348*波及効果シート!$D$72</f>
        <v>30132.577904169837</v>
      </c>
      <c r="AB349" s="507">
        <f>AB348*波及効果シート!$D$72</f>
        <v>30132.577904169837</v>
      </c>
      <c r="AC349" s="507">
        <f>AC348*波及効果シート!$D$72</f>
        <v>30132.577904169837</v>
      </c>
      <c r="AD349" s="507">
        <f>AD348*波及効果シート!$D$72</f>
        <v>30132.577904169837</v>
      </c>
      <c r="AE349" s="507">
        <f>AE348*波及効果シート!$D$72</f>
        <v>30132.577904169837</v>
      </c>
      <c r="AF349" s="507">
        <f>AF348*波及効果シート!$D$72</f>
        <v>30132.577904169837</v>
      </c>
      <c r="AG349" s="507">
        <f>AG348*波及効果シート!$D$72</f>
        <v>30132.577904169837</v>
      </c>
      <c r="AH349" s="507">
        <f>AH348*波及効果シート!$D$72</f>
        <v>30132.577904169837</v>
      </c>
      <c r="AI349" s="548">
        <f t="shared" si="179"/>
        <v>301325.77904169838</v>
      </c>
      <c r="AJ349" s="548">
        <f>SUM(D349:X349)</f>
        <v>602651.55808339675</v>
      </c>
      <c r="AK349" s="510">
        <f>SUM(D349:AH349)</f>
        <v>903977.33712509472</v>
      </c>
    </row>
    <row r="350" spans="1:37" ht="11.5" x14ac:dyDescent="0.25">
      <c r="A350" s="546" t="str">
        <f>A347&amp;B350</f>
        <v>損害保険業消費税（市町村）</v>
      </c>
      <c r="B350" s="452" t="s">
        <v>1048</v>
      </c>
      <c r="C350" s="465" t="s">
        <v>37</v>
      </c>
      <c r="D350" s="507">
        <f>D348*波及効果シート!$D$74</f>
        <v>0</v>
      </c>
      <c r="E350" s="507">
        <f>E348*波及効果シート!$D$74</f>
        <v>30132.577904169837</v>
      </c>
      <c r="F350" s="507">
        <f>F348*波及効果シート!$D$74</f>
        <v>30132.577904169837</v>
      </c>
      <c r="G350" s="507">
        <f>G348*波及効果シート!$D$74</f>
        <v>30132.577904169837</v>
      </c>
      <c r="H350" s="507">
        <f>H348*波及効果シート!$D$74</f>
        <v>30132.577904169837</v>
      </c>
      <c r="I350" s="507">
        <f>I348*波及効果シート!$D$74</f>
        <v>30132.577904169837</v>
      </c>
      <c r="J350" s="507">
        <f>J348*波及効果シート!$D$74</f>
        <v>30132.577904169837</v>
      </c>
      <c r="K350" s="507">
        <f>K348*波及効果シート!$D$74</f>
        <v>30132.577904169837</v>
      </c>
      <c r="L350" s="507">
        <f>L348*波及効果シート!$D$74</f>
        <v>30132.577904169837</v>
      </c>
      <c r="M350" s="507">
        <f>M348*波及効果シート!$D$74</f>
        <v>30132.577904169837</v>
      </c>
      <c r="N350" s="507">
        <f>N348*波及効果シート!$D$74</f>
        <v>30132.577904169837</v>
      </c>
      <c r="O350" s="507">
        <f>O348*波及効果シート!$D$74</f>
        <v>30132.577904169837</v>
      </c>
      <c r="P350" s="507">
        <f>P348*波及効果シート!$D$74</f>
        <v>30132.577904169837</v>
      </c>
      <c r="Q350" s="507">
        <f>Q348*波及効果シート!$D$74</f>
        <v>30132.577904169837</v>
      </c>
      <c r="R350" s="507">
        <f>R348*波及効果シート!$D$74</f>
        <v>30132.577904169837</v>
      </c>
      <c r="S350" s="507">
        <f>S348*波及効果シート!$D$74</f>
        <v>30132.577904169837</v>
      </c>
      <c r="T350" s="507">
        <f>T348*波及効果シート!$D$74</f>
        <v>30132.577904169837</v>
      </c>
      <c r="U350" s="507">
        <f>U348*波及効果シート!$D$74</f>
        <v>30132.577904169837</v>
      </c>
      <c r="V350" s="507">
        <f>V348*波及効果シート!$D$74</f>
        <v>30132.577904169837</v>
      </c>
      <c r="W350" s="507">
        <f>W348*波及効果シート!$D$74</f>
        <v>30132.577904169837</v>
      </c>
      <c r="X350" s="507">
        <f>X348*波及効果シート!$D$74</f>
        <v>30132.577904169837</v>
      </c>
      <c r="Y350" s="507">
        <f>Y348*波及効果シート!$D$74</f>
        <v>30132.577904169837</v>
      </c>
      <c r="Z350" s="507">
        <f>Z348*波及効果シート!$D$74</f>
        <v>30132.577904169837</v>
      </c>
      <c r="AA350" s="507">
        <f>AA348*波及効果シート!$D$74</f>
        <v>30132.577904169837</v>
      </c>
      <c r="AB350" s="507">
        <f>AB348*波及効果シート!$D$74</f>
        <v>30132.577904169837</v>
      </c>
      <c r="AC350" s="507">
        <f>AC348*波及効果シート!$D$74</f>
        <v>30132.577904169837</v>
      </c>
      <c r="AD350" s="507">
        <f>AD348*波及効果シート!$D$74</f>
        <v>30132.577904169837</v>
      </c>
      <c r="AE350" s="507">
        <f>AE348*波及効果シート!$D$74</f>
        <v>30132.577904169837</v>
      </c>
      <c r="AF350" s="507">
        <f>AF348*波及効果シート!$D$74</f>
        <v>30132.577904169837</v>
      </c>
      <c r="AG350" s="507">
        <f>AG348*波及効果シート!$D$74</f>
        <v>30132.577904169837</v>
      </c>
      <c r="AH350" s="507">
        <f>AH348*波及効果シート!$D$74</f>
        <v>30132.577904169837</v>
      </c>
      <c r="AI350" s="548">
        <f t="shared" si="179"/>
        <v>301325.77904169838</v>
      </c>
      <c r="AJ350" s="548">
        <f>SUM(D350:X350)</f>
        <v>602651.55808339675</v>
      </c>
      <c r="AK350" s="510">
        <f>SUM(D350:AH350)</f>
        <v>903977.33712509472</v>
      </c>
    </row>
    <row r="351" spans="1:37" ht="11.5" x14ac:dyDescent="0.25">
      <c r="A351" s="546" t="str">
        <f>A347&amp;B351</f>
        <v>損害保険業所得税（国税）</v>
      </c>
      <c r="B351" s="452" t="s">
        <v>356</v>
      </c>
      <c r="C351" s="465" t="s">
        <v>37</v>
      </c>
      <c r="D351" s="507">
        <f>D348*地域経済性分析・初期条件!$P$74</f>
        <v>0</v>
      </c>
      <c r="E351" s="507">
        <f>E348*地域経済性分析・初期条件!$P$74</f>
        <v>0</v>
      </c>
      <c r="F351" s="507">
        <f>F348*地域経済性分析・初期条件!$P$74</f>
        <v>0</v>
      </c>
      <c r="G351" s="507">
        <f>G348*地域経済性分析・初期条件!$P$74</f>
        <v>0</v>
      </c>
      <c r="H351" s="507">
        <f>H348*地域経済性分析・初期条件!$P$74</f>
        <v>0</v>
      </c>
      <c r="I351" s="507">
        <f>I348*地域経済性分析・初期条件!$P$74</f>
        <v>0</v>
      </c>
      <c r="J351" s="507">
        <f>J348*地域経済性分析・初期条件!$P$74</f>
        <v>0</v>
      </c>
      <c r="K351" s="507">
        <f>K348*地域経済性分析・初期条件!$P$74</f>
        <v>0</v>
      </c>
      <c r="L351" s="507">
        <f>L348*地域経済性分析・初期条件!$P$74</f>
        <v>0</v>
      </c>
      <c r="M351" s="507">
        <f>M348*地域経済性分析・初期条件!$P$74</f>
        <v>0</v>
      </c>
      <c r="N351" s="507">
        <f>N348*地域経済性分析・初期条件!$P$74</f>
        <v>0</v>
      </c>
      <c r="O351" s="507">
        <f>O348*地域経済性分析・初期条件!$P$74</f>
        <v>0</v>
      </c>
      <c r="P351" s="507">
        <f>P348*地域経済性分析・初期条件!$P$74</f>
        <v>0</v>
      </c>
      <c r="Q351" s="507">
        <f>Q348*地域経済性分析・初期条件!$P$74</f>
        <v>0</v>
      </c>
      <c r="R351" s="507">
        <f>R348*地域経済性分析・初期条件!$P$74</f>
        <v>0</v>
      </c>
      <c r="S351" s="507">
        <f>S348*地域経済性分析・初期条件!$P$74</f>
        <v>0</v>
      </c>
      <c r="T351" s="507">
        <f>T348*地域経済性分析・初期条件!$P$74</f>
        <v>0</v>
      </c>
      <c r="U351" s="507">
        <f>U348*地域経済性分析・初期条件!$P$74</f>
        <v>0</v>
      </c>
      <c r="V351" s="507">
        <f>V348*地域経済性分析・初期条件!$P$74</f>
        <v>0</v>
      </c>
      <c r="W351" s="507">
        <f>W348*地域経済性分析・初期条件!$P$74</f>
        <v>0</v>
      </c>
      <c r="X351" s="507">
        <f>X348*地域経済性分析・初期条件!$P$74</f>
        <v>0</v>
      </c>
      <c r="Y351" s="507">
        <f>Y348*地域経済性分析・初期条件!$P$74</f>
        <v>0</v>
      </c>
      <c r="Z351" s="507">
        <f>Z348*地域経済性分析・初期条件!$P$74</f>
        <v>0</v>
      </c>
      <c r="AA351" s="507">
        <f>AA348*地域経済性分析・初期条件!$P$74</f>
        <v>0</v>
      </c>
      <c r="AB351" s="507">
        <f>AB348*地域経済性分析・初期条件!$P$74</f>
        <v>0</v>
      </c>
      <c r="AC351" s="507">
        <f>AC348*地域経済性分析・初期条件!$P$74</f>
        <v>0</v>
      </c>
      <c r="AD351" s="507">
        <f>AD348*地域経済性分析・初期条件!$P$74</f>
        <v>0</v>
      </c>
      <c r="AE351" s="507">
        <f>AE348*地域経済性分析・初期条件!$P$74</f>
        <v>0</v>
      </c>
      <c r="AF351" s="507">
        <f>AF348*地域経済性分析・初期条件!$P$74</f>
        <v>0</v>
      </c>
      <c r="AG351" s="507">
        <f>AG348*地域経済性分析・初期条件!$P$74</f>
        <v>0</v>
      </c>
      <c r="AH351" s="507">
        <f>AH348*地域経済性分析・初期条件!$P$74</f>
        <v>0</v>
      </c>
      <c r="AI351" s="548">
        <f t="shared" si="179"/>
        <v>0</v>
      </c>
      <c r="AJ351" s="548">
        <f>SUM(D351:X351)</f>
        <v>0</v>
      </c>
      <c r="AK351" s="510">
        <f>SUM(D351:AH351)</f>
        <v>0</v>
      </c>
    </row>
    <row r="352" spans="1:37" ht="11.5" x14ac:dyDescent="0.25">
      <c r="A352" s="546" t="str">
        <f>A347&amp;B352</f>
        <v>損害保険業法人税（国税）</v>
      </c>
      <c r="B352" s="452" t="s">
        <v>355</v>
      </c>
      <c r="C352" s="465" t="s">
        <v>37</v>
      </c>
      <c r="D352" s="507">
        <f>D348*地域経済性分析・初期条件!$Q$74</f>
        <v>0</v>
      </c>
      <c r="E352" s="507">
        <f>E348*地域経済性分析・初期条件!$Q$74</f>
        <v>0</v>
      </c>
      <c r="F352" s="507">
        <f>F348*地域経済性分析・初期条件!$Q$74</f>
        <v>0</v>
      </c>
      <c r="G352" s="507">
        <f>G348*地域経済性分析・初期条件!$Q$74</f>
        <v>0</v>
      </c>
      <c r="H352" s="507">
        <f>H348*地域経済性分析・初期条件!$Q$74</f>
        <v>0</v>
      </c>
      <c r="I352" s="507">
        <f>I348*地域経済性分析・初期条件!$Q$74</f>
        <v>0</v>
      </c>
      <c r="J352" s="507">
        <f>J348*地域経済性分析・初期条件!$Q$74</f>
        <v>0</v>
      </c>
      <c r="K352" s="507">
        <f>K348*地域経済性分析・初期条件!$Q$74</f>
        <v>0</v>
      </c>
      <c r="L352" s="507">
        <f>L348*地域経済性分析・初期条件!$Q$74</f>
        <v>0</v>
      </c>
      <c r="M352" s="507">
        <f>M348*地域経済性分析・初期条件!$Q$74</f>
        <v>0</v>
      </c>
      <c r="N352" s="507">
        <f>N348*地域経済性分析・初期条件!$Q$74</f>
        <v>0</v>
      </c>
      <c r="O352" s="507">
        <f>O348*地域経済性分析・初期条件!$Q$74</f>
        <v>0</v>
      </c>
      <c r="P352" s="507">
        <f>P348*地域経済性分析・初期条件!$Q$74</f>
        <v>0</v>
      </c>
      <c r="Q352" s="507">
        <f>Q348*地域経済性分析・初期条件!$Q$74</f>
        <v>0</v>
      </c>
      <c r="R352" s="507">
        <f>R348*地域経済性分析・初期条件!$Q$74</f>
        <v>0</v>
      </c>
      <c r="S352" s="507">
        <f>S348*地域経済性分析・初期条件!$Q$74</f>
        <v>0</v>
      </c>
      <c r="T352" s="507">
        <f>T348*地域経済性分析・初期条件!$Q$74</f>
        <v>0</v>
      </c>
      <c r="U352" s="507">
        <f>U348*地域経済性分析・初期条件!$Q$74</f>
        <v>0</v>
      </c>
      <c r="V352" s="507">
        <f>V348*地域経済性分析・初期条件!$Q$74</f>
        <v>0</v>
      </c>
      <c r="W352" s="507">
        <f>W348*地域経済性分析・初期条件!$Q$74</f>
        <v>0</v>
      </c>
      <c r="X352" s="507">
        <f>X348*地域経済性分析・初期条件!$Q$74</f>
        <v>0</v>
      </c>
      <c r="Y352" s="507">
        <f>Y348*地域経済性分析・初期条件!$Q$74</f>
        <v>0</v>
      </c>
      <c r="Z352" s="507">
        <f>Z348*地域経済性分析・初期条件!$Q$74</f>
        <v>0</v>
      </c>
      <c r="AA352" s="507">
        <f>AA348*地域経済性分析・初期条件!$Q$74</f>
        <v>0</v>
      </c>
      <c r="AB352" s="507">
        <f>AB348*地域経済性分析・初期条件!$Q$74</f>
        <v>0</v>
      </c>
      <c r="AC352" s="507">
        <f>AC348*地域経済性分析・初期条件!$Q$74</f>
        <v>0</v>
      </c>
      <c r="AD352" s="507">
        <f>AD348*地域経済性分析・初期条件!$Q$74</f>
        <v>0</v>
      </c>
      <c r="AE352" s="507">
        <f>AE348*地域経済性分析・初期条件!$Q$74</f>
        <v>0</v>
      </c>
      <c r="AF352" s="507">
        <f>AF348*地域経済性分析・初期条件!$Q$74</f>
        <v>0</v>
      </c>
      <c r="AG352" s="507">
        <f>AG348*地域経済性分析・初期条件!$Q$74</f>
        <v>0</v>
      </c>
      <c r="AH352" s="507">
        <f>AH348*地域経済性分析・初期条件!$Q$74</f>
        <v>0</v>
      </c>
      <c r="AI352" s="548">
        <f t="shared" si="179"/>
        <v>0</v>
      </c>
      <c r="AJ352" s="548">
        <f>SUM(D352:X352)</f>
        <v>0</v>
      </c>
      <c r="AK352" s="510">
        <f>SUM(D352:AH352)</f>
        <v>0</v>
      </c>
    </row>
    <row r="353" spans="1:37" ht="11.5" x14ac:dyDescent="0.25">
      <c r="A353" s="546" t="str">
        <f>A347&amp;B353</f>
        <v>損害保険業従業員の可処分所得（一次）</v>
      </c>
      <c r="B353" s="452" t="s">
        <v>339</v>
      </c>
      <c r="C353" s="464" t="s">
        <v>37</v>
      </c>
      <c r="D353" s="507">
        <f>D348*地域経済性分析・初期条件!$H$74</f>
        <v>0</v>
      </c>
      <c r="E353" s="507">
        <f>E348*地域経済性分析・初期条件!$H$74</f>
        <v>134638.48566514449</v>
      </c>
      <c r="F353" s="507">
        <f>F348*地域経済性分析・初期条件!$H$74</f>
        <v>134638.48566514449</v>
      </c>
      <c r="G353" s="507">
        <f>G348*地域経済性分析・初期条件!$H$74</f>
        <v>134638.48566514449</v>
      </c>
      <c r="H353" s="507">
        <f>H348*地域経済性分析・初期条件!$H$74</f>
        <v>134638.48566514449</v>
      </c>
      <c r="I353" s="507">
        <f>I348*地域経済性分析・初期条件!$H$74</f>
        <v>134638.48566514449</v>
      </c>
      <c r="J353" s="507">
        <f>J348*地域経済性分析・初期条件!$H$74</f>
        <v>134638.48566514449</v>
      </c>
      <c r="K353" s="507">
        <f>K348*地域経済性分析・初期条件!$H$74</f>
        <v>134638.48566514449</v>
      </c>
      <c r="L353" s="507">
        <f>L348*地域経済性分析・初期条件!$H$74</f>
        <v>134638.48566514449</v>
      </c>
      <c r="M353" s="507">
        <f>M348*地域経済性分析・初期条件!$H$74</f>
        <v>134638.48566514449</v>
      </c>
      <c r="N353" s="507">
        <f>N348*地域経済性分析・初期条件!$H$74</f>
        <v>134638.48566514449</v>
      </c>
      <c r="O353" s="507">
        <f>O348*地域経済性分析・初期条件!$H$74</f>
        <v>134638.48566514449</v>
      </c>
      <c r="P353" s="507">
        <f>P348*地域経済性分析・初期条件!$H$74</f>
        <v>134638.48566514449</v>
      </c>
      <c r="Q353" s="507">
        <f>Q348*地域経済性分析・初期条件!$H$74</f>
        <v>134638.48566514449</v>
      </c>
      <c r="R353" s="507">
        <f>R348*地域経済性分析・初期条件!$H$74</f>
        <v>134638.48566514449</v>
      </c>
      <c r="S353" s="507">
        <f>S348*地域経済性分析・初期条件!$H$74</f>
        <v>134638.48566514449</v>
      </c>
      <c r="T353" s="507">
        <f>T348*地域経済性分析・初期条件!$H$74</f>
        <v>134638.48566514449</v>
      </c>
      <c r="U353" s="507">
        <f>U348*地域経済性分析・初期条件!$H$74</f>
        <v>134638.48566514449</v>
      </c>
      <c r="V353" s="507">
        <f>V348*地域経済性分析・初期条件!$H$74</f>
        <v>134638.48566514449</v>
      </c>
      <c r="W353" s="507">
        <f>W348*地域経済性分析・初期条件!$H$74</f>
        <v>134638.48566514449</v>
      </c>
      <c r="X353" s="507">
        <f>X348*地域経済性分析・初期条件!$H$74</f>
        <v>134638.48566514449</v>
      </c>
      <c r="Y353" s="507">
        <f>Y348*地域経済性分析・初期条件!$H$74</f>
        <v>134638.48566514449</v>
      </c>
      <c r="Z353" s="507">
        <f>Z348*地域経済性分析・初期条件!$H$74</f>
        <v>134638.48566514449</v>
      </c>
      <c r="AA353" s="507">
        <f>AA348*地域経済性分析・初期条件!$H$74</f>
        <v>134638.48566514449</v>
      </c>
      <c r="AB353" s="507">
        <f>AB348*地域経済性分析・初期条件!$H$74</f>
        <v>134638.48566514449</v>
      </c>
      <c r="AC353" s="507">
        <f>AC348*地域経済性分析・初期条件!$H$74</f>
        <v>134638.48566514449</v>
      </c>
      <c r="AD353" s="507">
        <f>AD348*地域経済性分析・初期条件!$H$74</f>
        <v>134638.48566514449</v>
      </c>
      <c r="AE353" s="507">
        <f>AE348*地域経済性分析・初期条件!$H$74</f>
        <v>134638.48566514449</v>
      </c>
      <c r="AF353" s="507">
        <f>AF348*地域経済性分析・初期条件!$H$74</f>
        <v>134638.48566514449</v>
      </c>
      <c r="AG353" s="507">
        <f>AG348*地域経済性分析・初期条件!$H$74</f>
        <v>134638.48566514449</v>
      </c>
      <c r="AH353" s="507">
        <f>AH348*地域経済性分析・初期条件!$H$74</f>
        <v>134638.48566514449</v>
      </c>
      <c r="AI353" s="548">
        <f t="shared" si="179"/>
        <v>1346384.8566514447</v>
      </c>
      <c r="AJ353" s="548">
        <f t="shared" ref="AJ353:AJ360" si="180">SUM(D353:X353)</f>
        <v>2692769.7133028889</v>
      </c>
      <c r="AK353" s="510">
        <f t="shared" ref="AK353:AK360" si="181">SUM(D353:AH353)</f>
        <v>4039154.5699543329</v>
      </c>
    </row>
    <row r="354" spans="1:37" ht="11.5" x14ac:dyDescent="0.25">
      <c r="A354" s="546" t="str">
        <f>A347&amp;B354</f>
        <v>損害保険業企業の税引後利益（一次）</v>
      </c>
      <c r="B354" s="452" t="s">
        <v>340</v>
      </c>
      <c r="C354" s="464" t="s">
        <v>37</v>
      </c>
      <c r="D354" s="507">
        <f>D348*地域経済性分析・初期条件!$I$74</f>
        <v>0</v>
      </c>
      <c r="E354" s="507">
        <f>E348*地域経済性分析・初期条件!$I$74</f>
        <v>146878.55845448666</v>
      </c>
      <c r="F354" s="507">
        <f>F348*地域経済性分析・初期条件!$I$74</f>
        <v>146878.55845448666</v>
      </c>
      <c r="G354" s="507">
        <f>G348*地域経済性分析・初期条件!$I$74</f>
        <v>146878.55845448666</v>
      </c>
      <c r="H354" s="507">
        <f>H348*地域経済性分析・初期条件!$I$74</f>
        <v>146878.55845448666</v>
      </c>
      <c r="I354" s="507">
        <f>I348*地域経済性分析・初期条件!$I$74</f>
        <v>146878.55845448666</v>
      </c>
      <c r="J354" s="507">
        <f>J348*地域経済性分析・初期条件!$I$74</f>
        <v>146878.55845448666</v>
      </c>
      <c r="K354" s="507">
        <f>K348*地域経済性分析・初期条件!$I$74</f>
        <v>146878.55845448666</v>
      </c>
      <c r="L354" s="507">
        <f>L348*地域経済性分析・初期条件!$I$74</f>
        <v>146878.55845448666</v>
      </c>
      <c r="M354" s="507">
        <f>M348*地域経済性分析・初期条件!$I$74</f>
        <v>146878.55845448666</v>
      </c>
      <c r="N354" s="507">
        <f>N348*地域経済性分析・初期条件!$I$74</f>
        <v>146878.55845448666</v>
      </c>
      <c r="O354" s="507">
        <f>O348*地域経済性分析・初期条件!$I$74</f>
        <v>146878.55845448666</v>
      </c>
      <c r="P354" s="507">
        <f>P348*地域経済性分析・初期条件!$I$74</f>
        <v>146878.55845448666</v>
      </c>
      <c r="Q354" s="507">
        <f>Q348*地域経済性分析・初期条件!$I$74</f>
        <v>146878.55845448666</v>
      </c>
      <c r="R354" s="507">
        <f>R348*地域経済性分析・初期条件!$I$74</f>
        <v>146878.55845448666</v>
      </c>
      <c r="S354" s="507">
        <f>S348*地域経済性分析・初期条件!$I$74</f>
        <v>146878.55845448666</v>
      </c>
      <c r="T354" s="507">
        <f>T348*地域経済性分析・初期条件!$I$74</f>
        <v>146878.55845448666</v>
      </c>
      <c r="U354" s="507">
        <f>U348*地域経済性分析・初期条件!$I$74</f>
        <v>146878.55845448666</v>
      </c>
      <c r="V354" s="507">
        <f>V348*地域経済性分析・初期条件!$I$74</f>
        <v>146878.55845448666</v>
      </c>
      <c r="W354" s="507">
        <f>W348*地域経済性分析・初期条件!$I$74</f>
        <v>146878.55845448666</v>
      </c>
      <c r="X354" s="507">
        <f>X348*地域経済性分析・初期条件!$I$74</f>
        <v>146878.55845448666</v>
      </c>
      <c r="Y354" s="507">
        <f>Y348*地域経済性分析・初期条件!$I$74</f>
        <v>146878.55845448666</v>
      </c>
      <c r="Z354" s="507">
        <f>Z348*地域経済性分析・初期条件!$I$74</f>
        <v>146878.55845448666</v>
      </c>
      <c r="AA354" s="507">
        <f>AA348*地域経済性分析・初期条件!$I$74</f>
        <v>146878.55845448666</v>
      </c>
      <c r="AB354" s="507">
        <f>AB348*地域経済性分析・初期条件!$I$74</f>
        <v>146878.55845448666</v>
      </c>
      <c r="AC354" s="507">
        <f>AC348*地域経済性分析・初期条件!$I$74</f>
        <v>146878.55845448666</v>
      </c>
      <c r="AD354" s="507">
        <f>AD348*地域経済性分析・初期条件!$I$74</f>
        <v>146878.55845448666</v>
      </c>
      <c r="AE354" s="507">
        <f>AE348*地域経済性分析・初期条件!$I$74</f>
        <v>146878.55845448666</v>
      </c>
      <c r="AF354" s="507">
        <f>AF348*地域経済性分析・初期条件!$I$74</f>
        <v>146878.55845448666</v>
      </c>
      <c r="AG354" s="507">
        <f>AG348*地域経済性分析・初期条件!$I$74</f>
        <v>146878.55845448666</v>
      </c>
      <c r="AH354" s="507">
        <f>AH348*地域経済性分析・初期条件!$I$74</f>
        <v>146878.55845448666</v>
      </c>
      <c r="AI354" s="548">
        <f t="shared" si="179"/>
        <v>1468785.5845448663</v>
      </c>
      <c r="AJ354" s="548">
        <f t="shared" si="180"/>
        <v>2937571.1690897318</v>
      </c>
      <c r="AK354" s="510">
        <f t="shared" si="181"/>
        <v>4406356.7536345972</v>
      </c>
    </row>
    <row r="355" spans="1:37" ht="11.5" x14ac:dyDescent="0.25">
      <c r="A355" s="546" t="str">
        <f>A347&amp;B355</f>
        <v>損害保険業都道府県税収（一次）</v>
      </c>
      <c r="B355" s="452" t="s">
        <v>341</v>
      </c>
      <c r="C355" s="464" t="s">
        <v>37</v>
      </c>
      <c r="D355" s="507">
        <f>D348*地域経済性分析・初期条件!$J$74</f>
        <v>0</v>
      </c>
      <c r="E355" s="507">
        <f>E348*地域経済性分析・初期条件!$J$74</f>
        <v>31222.773622071472</v>
      </c>
      <c r="F355" s="507">
        <f>F348*地域経済性分析・初期条件!$J$74</f>
        <v>31222.773622071472</v>
      </c>
      <c r="G355" s="507">
        <f>G348*地域経済性分析・初期条件!$J$74</f>
        <v>31222.773622071472</v>
      </c>
      <c r="H355" s="507">
        <f>H348*地域経済性分析・初期条件!$J$74</f>
        <v>31222.773622071472</v>
      </c>
      <c r="I355" s="507">
        <f>I348*地域経済性分析・初期条件!$J$74</f>
        <v>31222.773622071472</v>
      </c>
      <c r="J355" s="507">
        <f>J348*地域経済性分析・初期条件!$J$74</f>
        <v>31222.773622071472</v>
      </c>
      <c r="K355" s="507">
        <f>K348*地域経済性分析・初期条件!$J$74</f>
        <v>31222.773622071472</v>
      </c>
      <c r="L355" s="507">
        <f>L348*地域経済性分析・初期条件!$J$74</f>
        <v>31222.773622071472</v>
      </c>
      <c r="M355" s="507">
        <f>M348*地域経済性分析・初期条件!$J$74</f>
        <v>31222.773622071472</v>
      </c>
      <c r="N355" s="507">
        <f>N348*地域経済性分析・初期条件!$J$74</f>
        <v>31222.773622071472</v>
      </c>
      <c r="O355" s="507">
        <f>O348*地域経済性分析・初期条件!$J$74</f>
        <v>31222.773622071472</v>
      </c>
      <c r="P355" s="507">
        <f>P348*地域経済性分析・初期条件!$J$74</f>
        <v>31222.773622071472</v>
      </c>
      <c r="Q355" s="507">
        <f>Q348*地域経済性分析・初期条件!$J$74</f>
        <v>31222.773622071472</v>
      </c>
      <c r="R355" s="507">
        <f>R348*地域経済性分析・初期条件!$J$74</f>
        <v>31222.773622071472</v>
      </c>
      <c r="S355" s="507">
        <f>S348*地域経済性分析・初期条件!$J$74</f>
        <v>31222.773622071472</v>
      </c>
      <c r="T355" s="507">
        <f>T348*地域経済性分析・初期条件!$J$74</f>
        <v>31222.773622071472</v>
      </c>
      <c r="U355" s="507">
        <f>U348*地域経済性分析・初期条件!$J$74</f>
        <v>31222.773622071472</v>
      </c>
      <c r="V355" s="507">
        <f>V348*地域経済性分析・初期条件!$J$74</f>
        <v>31222.773622071472</v>
      </c>
      <c r="W355" s="507">
        <f>W348*地域経済性分析・初期条件!$J$74</f>
        <v>31222.773622071472</v>
      </c>
      <c r="X355" s="507">
        <f>X348*地域経済性分析・初期条件!$J$74</f>
        <v>31222.773622071472</v>
      </c>
      <c r="Y355" s="507">
        <f>Y348*地域経済性分析・初期条件!$J$74</f>
        <v>31222.773622071472</v>
      </c>
      <c r="Z355" s="507">
        <f>Z348*地域経済性分析・初期条件!$J$74</f>
        <v>31222.773622071472</v>
      </c>
      <c r="AA355" s="507">
        <f>AA348*地域経済性分析・初期条件!$J$74</f>
        <v>31222.773622071472</v>
      </c>
      <c r="AB355" s="507">
        <f>AB348*地域経済性分析・初期条件!$J$74</f>
        <v>31222.773622071472</v>
      </c>
      <c r="AC355" s="507">
        <f>AC348*地域経済性分析・初期条件!$J$74</f>
        <v>31222.773622071472</v>
      </c>
      <c r="AD355" s="507">
        <f>AD348*地域経済性分析・初期条件!$J$74</f>
        <v>31222.773622071472</v>
      </c>
      <c r="AE355" s="507">
        <f>AE348*地域経済性分析・初期条件!$J$74</f>
        <v>31222.773622071472</v>
      </c>
      <c r="AF355" s="507">
        <f>AF348*地域経済性分析・初期条件!$J$74</f>
        <v>31222.773622071472</v>
      </c>
      <c r="AG355" s="507">
        <f>AG348*地域経済性分析・初期条件!$J$74</f>
        <v>31222.773622071472</v>
      </c>
      <c r="AH355" s="507">
        <f>AH348*地域経済性分析・初期条件!$J$74</f>
        <v>31222.773622071472</v>
      </c>
      <c r="AI355" s="548">
        <f t="shared" si="179"/>
        <v>312227.73622071481</v>
      </c>
      <c r="AJ355" s="548">
        <f t="shared" si="180"/>
        <v>624455.47244142962</v>
      </c>
      <c r="AK355" s="510">
        <f t="shared" si="181"/>
        <v>936683.20866214449</v>
      </c>
    </row>
    <row r="356" spans="1:37" ht="11.5" x14ac:dyDescent="0.25">
      <c r="A356" s="546" t="str">
        <f>A347&amp;B356</f>
        <v>損害保険業市町村税収（一次）</v>
      </c>
      <c r="B356" s="452" t="s">
        <v>342</v>
      </c>
      <c r="C356" s="465" t="s">
        <v>37</v>
      </c>
      <c r="D356" s="507">
        <f>D348*地域経済性分析・初期条件!$K$74</f>
        <v>0</v>
      </c>
      <c r="E356" s="507">
        <f>E348*地域経済性分析・初期条件!$K$74</f>
        <v>10187.76988285577</v>
      </c>
      <c r="F356" s="507">
        <f>F348*地域経済性分析・初期条件!$K$74</f>
        <v>10187.76988285577</v>
      </c>
      <c r="G356" s="507">
        <f>G348*地域経済性分析・初期条件!$K$74</f>
        <v>10187.76988285577</v>
      </c>
      <c r="H356" s="507">
        <f>H348*地域経済性分析・初期条件!$K$74</f>
        <v>10187.76988285577</v>
      </c>
      <c r="I356" s="507">
        <f>I348*地域経済性分析・初期条件!$K$74</f>
        <v>10187.76988285577</v>
      </c>
      <c r="J356" s="507">
        <f>J348*地域経済性分析・初期条件!$K$74</f>
        <v>10187.76988285577</v>
      </c>
      <c r="K356" s="507">
        <f>K348*地域経済性分析・初期条件!$K$74</f>
        <v>10187.76988285577</v>
      </c>
      <c r="L356" s="507">
        <f>L348*地域経済性分析・初期条件!$K$74</f>
        <v>10187.76988285577</v>
      </c>
      <c r="M356" s="507">
        <f>M348*地域経済性分析・初期条件!$K$74</f>
        <v>10187.76988285577</v>
      </c>
      <c r="N356" s="507">
        <f>N348*地域経済性分析・初期条件!$K$74</f>
        <v>10187.76988285577</v>
      </c>
      <c r="O356" s="507">
        <f>O348*地域経済性分析・初期条件!$K$74</f>
        <v>10187.76988285577</v>
      </c>
      <c r="P356" s="507">
        <f>P348*地域経済性分析・初期条件!$K$74</f>
        <v>10187.76988285577</v>
      </c>
      <c r="Q356" s="507">
        <f>Q348*地域経済性分析・初期条件!$K$74</f>
        <v>10187.76988285577</v>
      </c>
      <c r="R356" s="507">
        <f>R348*地域経済性分析・初期条件!$K$74</f>
        <v>10187.76988285577</v>
      </c>
      <c r="S356" s="507">
        <f>S348*地域経済性分析・初期条件!$K$74</f>
        <v>10187.76988285577</v>
      </c>
      <c r="T356" s="507">
        <f>T348*地域経済性分析・初期条件!$K$74</f>
        <v>10187.76988285577</v>
      </c>
      <c r="U356" s="507">
        <f>U348*地域経済性分析・初期条件!$K$74</f>
        <v>10187.76988285577</v>
      </c>
      <c r="V356" s="507">
        <f>V348*地域経済性分析・初期条件!$K$74</f>
        <v>10187.76988285577</v>
      </c>
      <c r="W356" s="507">
        <f>W348*地域経済性分析・初期条件!$K$74</f>
        <v>10187.76988285577</v>
      </c>
      <c r="X356" s="507">
        <f>X348*地域経済性分析・初期条件!$K$74</f>
        <v>10187.76988285577</v>
      </c>
      <c r="Y356" s="507">
        <f>Y348*地域経済性分析・初期条件!$K$74</f>
        <v>10187.76988285577</v>
      </c>
      <c r="Z356" s="507">
        <f>Z348*地域経済性分析・初期条件!$K$74</f>
        <v>10187.76988285577</v>
      </c>
      <c r="AA356" s="507">
        <f>AA348*地域経済性分析・初期条件!$K$74</f>
        <v>10187.76988285577</v>
      </c>
      <c r="AB356" s="507">
        <f>AB348*地域経済性分析・初期条件!$K$74</f>
        <v>10187.76988285577</v>
      </c>
      <c r="AC356" s="507">
        <f>AC348*地域経済性分析・初期条件!$K$74</f>
        <v>10187.76988285577</v>
      </c>
      <c r="AD356" s="507">
        <f>AD348*地域経済性分析・初期条件!$K$74</f>
        <v>10187.76988285577</v>
      </c>
      <c r="AE356" s="507">
        <f>AE348*地域経済性分析・初期条件!$K$74</f>
        <v>10187.76988285577</v>
      </c>
      <c r="AF356" s="507">
        <f>AF348*地域経済性分析・初期条件!$K$74</f>
        <v>10187.76988285577</v>
      </c>
      <c r="AG356" s="507">
        <f>AG348*地域経済性分析・初期条件!$K$74</f>
        <v>10187.76988285577</v>
      </c>
      <c r="AH356" s="507">
        <f>AH348*地域経済性分析・初期条件!$K$74</f>
        <v>10187.76988285577</v>
      </c>
      <c r="AI356" s="548">
        <f t="shared" si="179"/>
        <v>101877.69882855768</v>
      </c>
      <c r="AJ356" s="548">
        <f t="shared" si="180"/>
        <v>203755.3976571153</v>
      </c>
      <c r="AK356" s="510">
        <f t="shared" si="181"/>
        <v>305633.09648567293</v>
      </c>
    </row>
    <row r="357" spans="1:37" ht="11.5" x14ac:dyDescent="0.25">
      <c r="A357" s="546" t="str">
        <f>A347&amp;B357</f>
        <v>損害保険業従業員の可処分所得（二次以降）</v>
      </c>
      <c r="B357" s="452" t="s">
        <v>344</v>
      </c>
      <c r="C357" s="465" t="s">
        <v>37</v>
      </c>
      <c r="D357" s="507">
        <f>D348*地域経済性分析・初期条件!$L$74</f>
        <v>0</v>
      </c>
      <c r="E357" s="507">
        <f>E348*地域経済性分析・初期条件!$L$74</f>
        <v>164867.22324153016</v>
      </c>
      <c r="F357" s="507">
        <f>F348*地域経済性分析・初期条件!$L$74</f>
        <v>164867.22324153016</v>
      </c>
      <c r="G357" s="507">
        <f>G348*地域経済性分析・初期条件!$L$74</f>
        <v>164867.22324153016</v>
      </c>
      <c r="H357" s="507">
        <f>H348*地域経済性分析・初期条件!$L$74</f>
        <v>164867.22324153016</v>
      </c>
      <c r="I357" s="507">
        <f>I348*地域経済性分析・初期条件!$L$74</f>
        <v>164867.22324153016</v>
      </c>
      <c r="J357" s="507">
        <f>J348*地域経済性分析・初期条件!$L$74</f>
        <v>164867.22324153016</v>
      </c>
      <c r="K357" s="507">
        <f>K348*地域経済性分析・初期条件!$L$74</f>
        <v>164867.22324153016</v>
      </c>
      <c r="L357" s="507">
        <f>L348*地域経済性分析・初期条件!$L$74</f>
        <v>164867.22324153016</v>
      </c>
      <c r="M357" s="507">
        <f>M348*地域経済性分析・初期条件!$L$74</f>
        <v>164867.22324153016</v>
      </c>
      <c r="N357" s="507">
        <f>N348*地域経済性分析・初期条件!$L$74</f>
        <v>164867.22324153016</v>
      </c>
      <c r="O357" s="507">
        <f>O348*地域経済性分析・初期条件!$L$74</f>
        <v>164867.22324153016</v>
      </c>
      <c r="P357" s="507">
        <f>P348*地域経済性分析・初期条件!$L$74</f>
        <v>164867.22324153016</v>
      </c>
      <c r="Q357" s="507">
        <f>Q348*地域経済性分析・初期条件!$L$74</f>
        <v>164867.22324153016</v>
      </c>
      <c r="R357" s="507">
        <f>R348*地域経済性分析・初期条件!$L$74</f>
        <v>164867.22324153016</v>
      </c>
      <c r="S357" s="507">
        <f>S348*地域経済性分析・初期条件!$L$74</f>
        <v>164867.22324153016</v>
      </c>
      <c r="T357" s="507">
        <f>T348*地域経済性分析・初期条件!$L$74</f>
        <v>164867.22324153016</v>
      </c>
      <c r="U357" s="507">
        <f>U348*地域経済性分析・初期条件!$L$74</f>
        <v>164867.22324153016</v>
      </c>
      <c r="V357" s="507">
        <f>V348*地域経済性分析・初期条件!$L$74</f>
        <v>164867.22324153016</v>
      </c>
      <c r="W357" s="507">
        <f>W348*地域経済性分析・初期条件!$L$74</f>
        <v>164867.22324153016</v>
      </c>
      <c r="X357" s="507">
        <f>X348*地域経済性分析・初期条件!$L$74</f>
        <v>164867.22324153016</v>
      </c>
      <c r="Y357" s="507">
        <f>Y348*地域経済性分析・初期条件!$L$74</f>
        <v>164867.22324153016</v>
      </c>
      <c r="Z357" s="507">
        <f>Z348*地域経済性分析・初期条件!$L$74</f>
        <v>164867.22324153016</v>
      </c>
      <c r="AA357" s="507">
        <f>AA348*地域経済性分析・初期条件!$L$74</f>
        <v>164867.22324153016</v>
      </c>
      <c r="AB357" s="507">
        <f>AB348*地域経済性分析・初期条件!$L$74</f>
        <v>164867.22324153016</v>
      </c>
      <c r="AC357" s="507">
        <f>AC348*地域経済性分析・初期条件!$L$74</f>
        <v>164867.22324153016</v>
      </c>
      <c r="AD357" s="507">
        <f>AD348*地域経済性分析・初期条件!$L$74</f>
        <v>164867.22324153016</v>
      </c>
      <c r="AE357" s="507">
        <f>AE348*地域経済性分析・初期条件!$L$74</f>
        <v>164867.22324153016</v>
      </c>
      <c r="AF357" s="507">
        <f>AF348*地域経済性分析・初期条件!$L$74</f>
        <v>164867.22324153016</v>
      </c>
      <c r="AG357" s="507">
        <f>AG348*地域経済性分析・初期条件!$L$74</f>
        <v>164867.22324153016</v>
      </c>
      <c r="AH357" s="507">
        <f>AH348*地域経済性分析・初期条件!$L$74</f>
        <v>164867.22324153016</v>
      </c>
      <c r="AI357" s="548">
        <f>SUM(D357:N357)</f>
        <v>1648672.2324153015</v>
      </c>
      <c r="AJ357" s="548">
        <f t="shared" si="180"/>
        <v>3297344.4648306044</v>
      </c>
      <c r="AK357" s="510">
        <f t="shared" si="181"/>
        <v>4946016.697245908</v>
      </c>
    </row>
    <row r="358" spans="1:37" ht="11.5" x14ac:dyDescent="0.25">
      <c r="A358" s="546" t="str">
        <f>A347&amp;B358</f>
        <v>損害保険業企業の税引後利益（二次以降）</v>
      </c>
      <c r="B358" s="452" t="s">
        <v>345</v>
      </c>
      <c r="C358" s="465" t="s">
        <v>37</v>
      </c>
      <c r="D358" s="507">
        <f>D348*地域経済性分析・初期条件!$M$74</f>
        <v>0</v>
      </c>
      <c r="E358" s="507">
        <f>E348*地域経済性分析・初期条件!$M$74</f>
        <v>101942.37555593089</v>
      </c>
      <c r="F358" s="507">
        <f>F348*地域経済性分析・初期条件!$M$74</f>
        <v>101942.37555593089</v>
      </c>
      <c r="G358" s="507">
        <f>G348*地域経済性分析・初期条件!$M$74</f>
        <v>101942.37555593089</v>
      </c>
      <c r="H358" s="507">
        <f>H348*地域経済性分析・初期条件!$M$74</f>
        <v>101942.37555593089</v>
      </c>
      <c r="I358" s="507">
        <f>I348*地域経済性分析・初期条件!$M$74</f>
        <v>101942.37555593089</v>
      </c>
      <c r="J358" s="507">
        <f>J348*地域経済性分析・初期条件!$M$74</f>
        <v>101942.37555593089</v>
      </c>
      <c r="K358" s="507">
        <f>K348*地域経済性分析・初期条件!$M$74</f>
        <v>101942.37555593089</v>
      </c>
      <c r="L358" s="507">
        <f>L348*地域経済性分析・初期条件!$M$74</f>
        <v>101942.37555593089</v>
      </c>
      <c r="M358" s="507">
        <f>M348*地域経済性分析・初期条件!$M$74</f>
        <v>101942.37555593089</v>
      </c>
      <c r="N358" s="507">
        <f>N348*地域経済性分析・初期条件!$M$74</f>
        <v>101942.37555593089</v>
      </c>
      <c r="O358" s="507">
        <f>O348*地域経済性分析・初期条件!$M$74</f>
        <v>101942.37555593089</v>
      </c>
      <c r="P358" s="507">
        <f>P348*地域経済性分析・初期条件!$M$74</f>
        <v>101942.37555593089</v>
      </c>
      <c r="Q358" s="507">
        <f>Q348*地域経済性分析・初期条件!$M$74</f>
        <v>101942.37555593089</v>
      </c>
      <c r="R358" s="507">
        <f>R348*地域経済性分析・初期条件!$M$74</f>
        <v>101942.37555593089</v>
      </c>
      <c r="S358" s="507">
        <f>S348*地域経済性分析・初期条件!$M$74</f>
        <v>101942.37555593089</v>
      </c>
      <c r="T358" s="507">
        <f>T348*地域経済性分析・初期条件!$M$74</f>
        <v>101942.37555593089</v>
      </c>
      <c r="U358" s="507">
        <f>U348*地域経済性分析・初期条件!$M$74</f>
        <v>101942.37555593089</v>
      </c>
      <c r="V358" s="507">
        <f>V348*地域経済性分析・初期条件!$M$74</f>
        <v>101942.37555593089</v>
      </c>
      <c r="W358" s="507">
        <f>W348*地域経済性分析・初期条件!$M$74</f>
        <v>101942.37555593089</v>
      </c>
      <c r="X358" s="507">
        <f>X348*地域経済性分析・初期条件!$M$74</f>
        <v>101942.37555593089</v>
      </c>
      <c r="Y358" s="507">
        <f>Y348*地域経済性分析・初期条件!$M$74</f>
        <v>101942.37555593089</v>
      </c>
      <c r="Z358" s="507">
        <f>Z348*地域経済性分析・初期条件!$M$74</f>
        <v>101942.37555593089</v>
      </c>
      <c r="AA358" s="507">
        <f>AA348*地域経済性分析・初期条件!$M$74</f>
        <v>101942.37555593089</v>
      </c>
      <c r="AB358" s="507">
        <f>AB348*地域経済性分析・初期条件!$M$74</f>
        <v>101942.37555593089</v>
      </c>
      <c r="AC358" s="507">
        <f>AC348*地域経済性分析・初期条件!$M$74</f>
        <v>101942.37555593089</v>
      </c>
      <c r="AD358" s="507">
        <f>AD348*地域経済性分析・初期条件!$M$74</f>
        <v>101942.37555593089</v>
      </c>
      <c r="AE358" s="507">
        <f>AE348*地域経済性分析・初期条件!$M$74</f>
        <v>101942.37555593089</v>
      </c>
      <c r="AF358" s="507">
        <f>AF348*地域経済性分析・初期条件!$M$74</f>
        <v>101942.37555593089</v>
      </c>
      <c r="AG358" s="507">
        <f>AG348*地域経済性分析・初期条件!$M$74</f>
        <v>101942.37555593089</v>
      </c>
      <c r="AH358" s="507">
        <f>AH348*地域経済性分析・初期条件!$M$74</f>
        <v>101942.37555593089</v>
      </c>
      <c r="AI358" s="548">
        <f>SUM(D358:N358)</f>
        <v>1019423.7555593089</v>
      </c>
      <c r="AJ358" s="548">
        <f t="shared" si="180"/>
        <v>2038847.5111186178</v>
      </c>
      <c r="AK358" s="510">
        <f t="shared" si="181"/>
        <v>3058271.2666779244</v>
      </c>
    </row>
    <row r="359" spans="1:37" ht="11.5" x14ac:dyDescent="0.25">
      <c r="A359" s="546" t="str">
        <f>A347&amp;B359</f>
        <v>損害保険業都道府県税収（二次以降）</v>
      </c>
      <c r="B359" s="452" t="s">
        <v>346</v>
      </c>
      <c r="C359" s="465" t="s">
        <v>37</v>
      </c>
      <c r="D359" s="507">
        <f>D348*地域経済性分析・初期条件!$N$74</f>
        <v>0</v>
      </c>
      <c r="E359" s="507">
        <f>E348*地域経済性分析・初期条件!$N$74</f>
        <v>27947.011320324818</v>
      </c>
      <c r="F359" s="507">
        <f>F348*地域経済性分析・初期条件!$N$74</f>
        <v>27947.011320324818</v>
      </c>
      <c r="G359" s="507">
        <f>G348*地域経済性分析・初期条件!$N$74</f>
        <v>27947.011320324818</v>
      </c>
      <c r="H359" s="507">
        <f>H348*地域経済性分析・初期条件!$N$74</f>
        <v>27947.011320324818</v>
      </c>
      <c r="I359" s="507">
        <f>I348*地域経済性分析・初期条件!$N$74</f>
        <v>27947.011320324818</v>
      </c>
      <c r="J359" s="507">
        <f>J348*地域経済性分析・初期条件!$N$74</f>
        <v>27947.011320324818</v>
      </c>
      <c r="K359" s="507">
        <f>K348*地域経済性分析・初期条件!$N$74</f>
        <v>27947.011320324818</v>
      </c>
      <c r="L359" s="507">
        <f>L348*地域経済性分析・初期条件!$N$74</f>
        <v>27947.011320324818</v>
      </c>
      <c r="M359" s="507">
        <f>M348*地域経済性分析・初期条件!$N$74</f>
        <v>27947.011320324818</v>
      </c>
      <c r="N359" s="507">
        <f>N348*地域経済性分析・初期条件!$N$74</f>
        <v>27947.011320324818</v>
      </c>
      <c r="O359" s="507">
        <f>O348*地域経済性分析・初期条件!$N$74</f>
        <v>27947.011320324818</v>
      </c>
      <c r="P359" s="507">
        <f>P348*地域経済性分析・初期条件!$N$74</f>
        <v>27947.011320324818</v>
      </c>
      <c r="Q359" s="507">
        <f>Q348*地域経済性分析・初期条件!$N$74</f>
        <v>27947.011320324818</v>
      </c>
      <c r="R359" s="507">
        <f>R348*地域経済性分析・初期条件!$N$74</f>
        <v>27947.011320324818</v>
      </c>
      <c r="S359" s="507">
        <f>S348*地域経済性分析・初期条件!$N$74</f>
        <v>27947.011320324818</v>
      </c>
      <c r="T359" s="507">
        <f>T348*地域経済性分析・初期条件!$N$74</f>
        <v>27947.011320324818</v>
      </c>
      <c r="U359" s="507">
        <f>U348*地域経済性分析・初期条件!$N$74</f>
        <v>27947.011320324818</v>
      </c>
      <c r="V359" s="507">
        <f>V348*地域経済性分析・初期条件!$N$74</f>
        <v>27947.011320324818</v>
      </c>
      <c r="W359" s="507">
        <f>W348*地域経済性分析・初期条件!$N$74</f>
        <v>27947.011320324818</v>
      </c>
      <c r="X359" s="507">
        <f>X348*地域経済性分析・初期条件!$N$74</f>
        <v>27947.011320324818</v>
      </c>
      <c r="Y359" s="507">
        <f>Y348*地域経済性分析・初期条件!$N$74</f>
        <v>27947.011320324818</v>
      </c>
      <c r="Z359" s="507">
        <f>Z348*地域経済性分析・初期条件!$N$74</f>
        <v>27947.011320324818</v>
      </c>
      <c r="AA359" s="507">
        <f>AA348*地域経済性分析・初期条件!$N$74</f>
        <v>27947.011320324818</v>
      </c>
      <c r="AB359" s="507">
        <f>AB348*地域経済性分析・初期条件!$N$74</f>
        <v>27947.011320324818</v>
      </c>
      <c r="AC359" s="507">
        <f>AC348*地域経済性分析・初期条件!$N$74</f>
        <v>27947.011320324818</v>
      </c>
      <c r="AD359" s="507">
        <f>AD348*地域経済性分析・初期条件!$N$74</f>
        <v>27947.011320324818</v>
      </c>
      <c r="AE359" s="507">
        <f>AE348*地域経済性分析・初期条件!$N$74</f>
        <v>27947.011320324818</v>
      </c>
      <c r="AF359" s="507">
        <f>AF348*地域経済性分析・初期条件!$N$74</f>
        <v>27947.011320324818</v>
      </c>
      <c r="AG359" s="507">
        <f>AG348*地域経済性分析・初期条件!$N$74</f>
        <v>27947.011320324818</v>
      </c>
      <c r="AH359" s="507">
        <f>AH348*地域経済性分析・初期条件!$N$74</f>
        <v>27947.011320324818</v>
      </c>
      <c r="AI359" s="548">
        <f>SUM(D359:N359)</f>
        <v>279470.11320324818</v>
      </c>
      <c r="AJ359" s="548">
        <f t="shared" si="180"/>
        <v>558940.2264064966</v>
      </c>
      <c r="AK359" s="510">
        <f t="shared" si="181"/>
        <v>838410.33960974507</v>
      </c>
    </row>
    <row r="360" spans="1:37" ht="11.5" x14ac:dyDescent="0.25">
      <c r="A360" s="546" t="str">
        <f>A347&amp;B360</f>
        <v>損害保険業市町村税収（二次以降）</v>
      </c>
      <c r="B360" s="452" t="s">
        <v>347</v>
      </c>
      <c r="C360" s="465" t="s">
        <v>37</v>
      </c>
      <c r="D360" s="507">
        <f>D348*地域経済性分析・初期条件!$O$74</f>
        <v>0</v>
      </c>
      <c r="E360" s="507">
        <f>E348*地域経済性分析・初期条件!$O$74</f>
        <v>11279.818044608688</v>
      </c>
      <c r="F360" s="507">
        <f>F348*地域経済性分析・初期条件!$O$74</f>
        <v>11279.818044608688</v>
      </c>
      <c r="G360" s="507">
        <f>G348*地域経済性分析・初期条件!$O$74</f>
        <v>11279.818044608688</v>
      </c>
      <c r="H360" s="507">
        <f>H348*地域経済性分析・初期条件!$O$74</f>
        <v>11279.818044608688</v>
      </c>
      <c r="I360" s="507">
        <f>I348*地域経済性分析・初期条件!$O$74</f>
        <v>11279.818044608688</v>
      </c>
      <c r="J360" s="507">
        <f>J348*地域経済性分析・初期条件!$O$74</f>
        <v>11279.818044608688</v>
      </c>
      <c r="K360" s="507">
        <f>K348*地域経済性分析・初期条件!$O$74</f>
        <v>11279.818044608688</v>
      </c>
      <c r="L360" s="507">
        <f>L348*地域経済性分析・初期条件!$O$74</f>
        <v>11279.818044608688</v>
      </c>
      <c r="M360" s="507">
        <f>M348*地域経済性分析・初期条件!$O$74</f>
        <v>11279.818044608688</v>
      </c>
      <c r="N360" s="507">
        <f>N348*地域経済性分析・初期条件!$O$74</f>
        <v>11279.818044608688</v>
      </c>
      <c r="O360" s="507">
        <f>O348*地域経済性分析・初期条件!$O$74</f>
        <v>11279.818044608688</v>
      </c>
      <c r="P360" s="507">
        <f>P348*地域経済性分析・初期条件!$O$74</f>
        <v>11279.818044608688</v>
      </c>
      <c r="Q360" s="507">
        <f>Q348*地域経済性分析・初期条件!$O$74</f>
        <v>11279.818044608688</v>
      </c>
      <c r="R360" s="507">
        <f>R348*地域経済性分析・初期条件!$O$74</f>
        <v>11279.818044608688</v>
      </c>
      <c r="S360" s="507">
        <f>S348*地域経済性分析・初期条件!$O$74</f>
        <v>11279.818044608688</v>
      </c>
      <c r="T360" s="507">
        <f>T348*地域経済性分析・初期条件!$O$74</f>
        <v>11279.818044608688</v>
      </c>
      <c r="U360" s="507">
        <f>U348*地域経済性分析・初期条件!$O$74</f>
        <v>11279.818044608688</v>
      </c>
      <c r="V360" s="507">
        <f>V348*地域経済性分析・初期条件!$O$74</f>
        <v>11279.818044608688</v>
      </c>
      <c r="W360" s="507">
        <f>W348*地域経済性分析・初期条件!$O$74</f>
        <v>11279.818044608688</v>
      </c>
      <c r="X360" s="507">
        <f>X348*地域経済性分析・初期条件!$O$74</f>
        <v>11279.818044608688</v>
      </c>
      <c r="Y360" s="507">
        <f>Y348*地域経済性分析・初期条件!$O$74</f>
        <v>11279.818044608688</v>
      </c>
      <c r="Z360" s="507">
        <f>Z348*地域経済性分析・初期条件!$O$74</f>
        <v>11279.818044608688</v>
      </c>
      <c r="AA360" s="507">
        <f>AA348*地域経済性分析・初期条件!$O$74</f>
        <v>11279.818044608688</v>
      </c>
      <c r="AB360" s="507">
        <f>AB348*地域経済性分析・初期条件!$O$74</f>
        <v>11279.818044608688</v>
      </c>
      <c r="AC360" s="507">
        <f>AC348*地域経済性分析・初期条件!$O$74</f>
        <v>11279.818044608688</v>
      </c>
      <c r="AD360" s="507">
        <f>AD348*地域経済性分析・初期条件!$O$74</f>
        <v>11279.818044608688</v>
      </c>
      <c r="AE360" s="507">
        <f>AE348*地域経済性分析・初期条件!$O$74</f>
        <v>11279.818044608688</v>
      </c>
      <c r="AF360" s="507">
        <f>AF348*地域経済性分析・初期条件!$O$74</f>
        <v>11279.818044608688</v>
      </c>
      <c r="AG360" s="507">
        <f>AG348*地域経済性分析・初期条件!$O$74</f>
        <v>11279.818044608688</v>
      </c>
      <c r="AH360" s="507">
        <f>AH348*地域経済性分析・初期条件!$O$74</f>
        <v>11279.818044608688</v>
      </c>
      <c r="AI360" s="548">
        <f>SUM(D360:N360)</f>
        <v>112798.1804460869</v>
      </c>
      <c r="AJ360" s="548">
        <f t="shared" si="180"/>
        <v>225596.36089217381</v>
      </c>
      <c r="AK360" s="510">
        <f t="shared" si="181"/>
        <v>338394.54133826069</v>
      </c>
    </row>
    <row r="361" spans="1:37" ht="11.5" x14ac:dyDescent="0.25">
      <c r="A361" s="502" t="str">
        <f>地域経済性分析・初期条件!$G$75</f>
        <v>不動産業</v>
      </c>
      <c r="C361" s="465"/>
      <c r="D361" s="507"/>
      <c r="E361" s="507"/>
      <c r="F361" s="478"/>
      <c r="G361" s="478"/>
      <c r="H361" s="478"/>
      <c r="I361" s="478"/>
      <c r="J361" s="478"/>
      <c r="K361" s="478"/>
      <c r="L361" s="478"/>
      <c r="M361" s="478"/>
      <c r="N361" s="478"/>
      <c r="O361" s="478"/>
      <c r="P361" s="478"/>
      <c r="Q361" s="478"/>
      <c r="R361" s="478"/>
      <c r="S361" s="478"/>
      <c r="T361" s="478"/>
      <c r="U361" s="478"/>
      <c r="V361" s="478"/>
      <c r="W361" s="478"/>
      <c r="X361" s="478"/>
      <c r="Y361" s="478"/>
      <c r="Z361" s="478"/>
      <c r="AA361" s="478"/>
      <c r="AB361" s="478"/>
      <c r="AC361" s="478"/>
      <c r="AD361" s="478"/>
      <c r="AE361" s="478"/>
      <c r="AF361" s="478"/>
      <c r="AG361" s="478"/>
      <c r="AH361" s="478"/>
      <c r="AI361" s="548"/>
      <c r="AJ361" s="548"/>
      <c r="AK361" s="510"/>
    </row>
    <row r="362" spans="1:37" ht="11.5" x14ac:dyDescent="0.25">
      <c r="A362" s="546" t="str">
        <f>A361&amp;B362</f>
        <v>不動産業売上（税別）</v>
      </c>
      <c r="B362" s="452" t="s">
        <v>1047</v>
      </c>
      <c r="C362" s="464" t="s">
        <v>37</v>
      </c>
      <c r="D362" s="507">
        <f>D332*地域経済性分析・初期条件!$F$75</f>
        <v>0</v>
      </c>
      <c r="E362" s="507">
        <f>E332*地域経済性分析・初期条件!$F$75</f>
        <v>2739325.2640154399</v>
      </c>
      <c r="F362" s="507">
        <f>F332*地域経済性分析・初期条件!$F$75</f>
        <v>2739325.2640154399</v>
      </c>
      <c r="G362" s="507">
        <f>G332*地域経済性分析・初期条件!$F$75</f>
        <v>2739325.2640154399</v>
      </c>
      <c r="H362" s="507">
        <f>H332*地域経済性分析・初期条件!$F$75</f>
        <v>2739325.2640154399</v>
      </c>
      <c r="I362" s="507">
        <f>I332*地域経済性分析・初期条件!$F$75</f>
        <v>2739325.2640154399</v>
      </c>
      <c r="J362" s="507">
        <f>J332*地域経済性分析・初期条件!$F$75</f>
        <v>2739325.2640154399</v>
      </c>
      <c r="K362" s="507">
        <f>K332*地域経済性分析・初期条件!$F$75</f>
        <v>2739325.2640154399</v>
      </c>
      <c r="L362" s="507">
        <f>L332*地域経済性分析・初期条件!$F$75</f>
        <v>2739325.2640154399</v>
      </c>
      <c r="M362" s="507">
        <f>M332*地域経済性分析・初期条件!$F$75</f>
        <v>2739325.2640154399</v>
      </c>
      <c r="N362" s="507">
        <f>N332*地域経済性分析・初期条件!$F$75</f>
        <v>2739325.2640154399</v>
      </c>
      <c r="O362" s="507">
        <f>O332*地域経済性分析・初期条件!$F$75</f>
        <v>2739325.2640154399</v>
      </c>
      <c r="P362" s="507">
        <f>P332*地域経済性分析・初期条件!$F$75</f>
        <v>2739325.2640154399</v>
      </c>
      <c r="Q362" s="507">
        <f>Q332*地域経済性分析・初期条件!$F$75</f>
        <v>2739325.2640154399</v>
      </c>
      <c r="R362" s="507">
        <f>R332*地域経済性分析・初期条件!$F$75</f>
        <v>2739325.2640154399</v>
      </c>
      <c r="S362" s="507">
        <f>S332*地域経済性分析・初期条件!$F$75</f>
        <v>2739325.2640154399</v>
      </c>
      <c r="T362" s="507">
        <f>T332*地域経済性分析・初期条件!$F$75</f>
        <v>2739325.2640154399</v>
      </c>
      <c r="U362" s="507">
        <f>U332*地域経済性分析・初期条件!$F$75</f>
        <v>2739325.2640154399</v>
      </c>
      <c r="V362" s="507">
        <f>V332*地域経済性分析・初期条件!$F$75</f>
        <v>2739325.2640154399</v>
      </c>
      <c r="W362" s="507">
        <f>W332*地域経済性分析・初期条件!$F$75</f>
        <v>2739325.2640154399</v>
      </c>
      <c r="X362" s="507">
        <f>X332*地域経済性分析・初期条件!$F$75</f>
        <v>2739325.2640154399</v>
      </c>
      <c r="Y362" s="507">
        <f>Y332*地域経済性分析・初期条件!$F$75</f>
        <v>2739325.2640154399</v>
      </c>
      <c r="Z362" s="507">
        <f>Z332*地域経済性分析・初期条件!$F$75</f>
        <v>2739325.2640154399</v>
      </c>
      <c r="AA362" s="507">
        <f>AA332*地域経済性分析・初期条件!$F$75</f>
        <v>2739325.2640154399</v>
      </c>
      <c r="AB362" s="507">
        <f>AB332*地域経済性分析・初期条件!$F$75</f>
        <v>2739325.2640154399</v>
      </c>
      <c r="AC362" s="507">
        <f>AC332*地域経済性分析・初期条件!$F$75</f>
        <v>2739325.2640154399</v>
      </c>
      <c r="AD362" s="507">
        <f>AD332*地域経済性分析・初期条件!$F$75</f>
        <v>2739325.2640154399</v>
      </c>
      <c r="AE362" s="507">
        <f>AE332*地域経済性分析・初期条件!$F$75</f>
        <v>2739325.2640154399</v>
      </c>
      <c r="AF362" s="507">
        <f>AF332*地域経済性分析・初期条件!$F$75</f>
        <v>2739325.2640154399</v>
      </c>
      <c r="AG362" s="507">
        <f>AG332*地域経済性分析・初期条件!$F$75</f>
        <v>2739325.2640154399</v>
      </c>
      <c r="AH362" s="507">
        <f>AH332*地域経済性分析・初期条件!$F$75</f>
        <v>2739325.2640154399</v>
      </c>
      <c r="AI362" s="548">
        <f t="shared" ref="AI362:AI370" si="182">SUM(D362:N362)</f>
        <v>27393252.640154399</v>
      </c>
      <c r="AJ362" s="548">
        <f>SUM(D362:X362)</f>
        <v>54786505.280308768</v>
      </c>
      <c r="AK362" s="510">
        <f>SUM(D362:AH362)</f>
        <v>82179757.92046313</v>
      </c>
    </row>
    <row r="363" spans="1:37" ht="11.5" x14ac:dyDescent="0.25">
      <c r="A363" s="546" t="str">
        <f>A361&amp;B363</f>
        <v>不動産業消費税（都道府県）</v>
      </c>
      <c r="B363" s="452" t="s">
        <v>263</v>
      </c>
      <c r="C363" s="464" t="s">
        <v>37</v>
      </c>
      <c r="D363" s="507">
        <f>D362*波及効果シート!$D$72</f>
        <v>0</v>
      </c>
      <c r="E363" s="507">
        <f>E362*波及効果シート!$D$72</f>
        <v>30132.577904169837</v>
      </c>
      <c r="F363" s="507">
        <f>F362*波及効果シート!$D$72</f>
        <v>30132.577904169837</v>
      </c>
      <c r="G363" s="507">
        <f>G362*波及効果シート!$D$72</f>
        <v>30132.577904169837</v>
      </c>
      <c r="H363" s="507">
        <f>H362*波及効果シート!$D$72</f>
        <v>30132.577904169837</v>
      </c>
      <c r="I363" s="507">
        <f>I362*波及効果シート!$D$72</f>
        <v>30132.577904169837</v>
      </c>
      <c r="J363" s="507">
        <f>J362*波及効果シート!$D$72</f>
        <v>30132.577904169837</v>
      </c>
      <c r="K363" s="507">
        <f>K362*波及効果シート!$D$72</f>
        <v>30132.577904169837</v>
      </c>
      <c r="L363" s="507">
        <f>L362*波及効果シート!$D$72</f>
        <v>30132.577904169837</v>
      </c>
      <c r="M363" s="507">
        <f>M362*波及効果シート!$D$72</f>
        <v>30132.577904169837</v>
      </c>
      <c r="N363" s="507">
        <f>N362*波及効果シート!$D$72</f>
        <v>30132.577904169837</v>
      </c>
      <c r="O363" s="507">
        <f>O362*波及効果シート!$D$72</f>
        <v>30132.577904169837</v>
      </c>
      <c r="P363" s="507">
        <f>P362*波及効果シート!$D$72</f>
        <v>30132.577904169837</v>
      </c>
      <c r="Q363" s="507">
        <f>Q362*波及効果シート!$D$72</f>
        <v>30132.577904169837</v>
      </c>
      <c r="R363" s="507">
        <f>R362*波及効果シート!$D$72</f>
        <v>30132.577904169837</v>
      </c>
      <c r="S363" s="507">
        <f>S362*波及効果シート!$D$72</f>
        <v>30132.577904169837</v>
      </c>
      <c r="T363" s="507">
        <f>T362*波及効果シート!$D$72</f>
        <v>30132.577904169837</v>
      </c>
      <c r="U363" s="507">
        <f>U362*波及効果シート!$D$72</f>
        <v>30132.577904169837</v>
      </c>
      <c r="V363" s="507">
        <f>V362*波及効果シート!$D$72</f>
        <v>30132.577904169837</v>
      </c>
      <c r="W363" s="507">
        <f>W362*波及効果シート!$D$72</f>
        <v>30132.577904169837</v>
      </c>
      <c r="X363" s="507">
        <f>X362*波及効果シート!$D$72</f>
        <v>30132.577904169837</v>
      </c>
      <c r="Y363" s="507">
        <f>Y362*波及効果シート!$D$72</f>
        <v>30132.577904169837</v>
      </c>
      <c r="Z363" s="507">
        <f>Z362*波及効果シート!$D$72</f>
        <v>30132.577904169837</v>
      </c>
      <c r="AA363" s="507">
        <f>AA362*波及効果シート!$D$72</f>
        <v>30132.577904169837</v>
      </c>
      <c r="AB363" s="507">
        <f>AB362*波及効果シート!$D$72</f>
        <v>30132.577904169837</v>
      </c>
      <c r="AC363" s="507">
        <f>AC362*波及効果シート!$D$72</f>
        <v>30132.577904169837</v>
      </c>
      <c r="AD363" s="507">
        <f>AD362*波及効果シート!$D$72</f>
        <v>30132.577904169837</v>
      </c>
      <c r="AE363" s="507">
        <f>AE362*波及効果シート!$D$72</f>
        <v>30132.577904169837</v>
      </c>
      <c r="AF363" s="507">
        <f>AF362*波及効果シート!$D$72</f>
        <v>30132.577904169837</v>
      </c>
      <c r="AG363" s="507">
        <f>AG362*波及効果シート!$D$72</f>
        <v>30132.577904169837</v>
      </c>
      <c r="AH363" s="507">
        <f>AH362*波及効果シート!$D$72</f>
        <v>30132.577904169837</v>
      </c>
      <c r="AI363" s="548">
        <f t="shared" si="182"/>
        <v>301325.77904169838</v>
      </c>
      <c r="AJ363" s="548">
        <f>SUM(D363:X363)</f>
        <v>602651.55808339675</v>
      </c>
      <c r="AK363" s="510">
        <f>SUM(D363:AH363)</f>
        <v>903977.33712509472</v>
      </c>
    </row>
    <row r="364" spans="1:37" ht="11.5" x14ac:dyDescent="0.25">
      <c r="A364" s="546" t="str">
        <f>A361&amp;B364</f>
        <v>不動産業消費税（市町村）</v>
      </c>
      <c r="B364" s="452" t="s">
        <v>1048</v>
      </c>
      <c r="C364" s="465" t="s">
        <v>37</v>
      </c>
      <c r="D364" s="507">
        <f>D362*波及効果シート!$D$74</f>
        <v>0</v>
      </c>
      <c r="E364" s="507">
        <f>E362*波及効果シート!$D$74</f>
        <v>30132.577904169837</v>
      </c>
      <c r="F364" s="507">
        <f>F362*波及効果シート!$D$74</f>
        <v>30132.577904169837</v>
      </c>
      <c r="G364" s="507">
        <f>G362*波及効果シート!$D$74</f>
        <v>30132.577904169837</v>
      </c>
      <c r="H364" s="507">
        <f>H362*波及効果シート!$D$74</f>
        <v>30132.577904169837</v>
      </c>
      <c r="I364" s="507">
        <f>I362*波及効果シート!$D$74</f>
        <v>30132.577904169837</v>
      </c>
      <c r="J364" s="507">
        <f>J362*波及効果シート!$D$74</f>
        <v>30132.577904169837</v>
      </c>
      <c r="K364" s="507">
        <f>K362*波及効果シート!$D$74</f>
        <v>30132.577904169837</v>
      </c>
      <c r="L364" s="507">
        <f>L362*波及効果シート!$D$74</f>
        <v>30132.577904169837</v>
      </c>
      <c r="M364" s="507">
        <f>M362*波及効果シート!$D$74</f>
        <v>30132.577904169837</v>
      </c>
      <c r="N364" s="507">
        <f>N362*波及効果シート!$D$74</f>
        <v>30132.577904169837</v>
      </c>
      <c r="O364" s="507">
        <f>O362*波及効果シート!$D$74</f>
        <v>30132.577904169837</v>
      </c>
      <c r="P364" s="507">
        <f>P362*波及効果シート!$D$74</f>
        <v>30132.577904169837</v>
      </c>
      <c r="Q364" s="507">
        <f>Q362*波及効果シート!$D$74</f>
        <v>30132.577904169837</v>
      </c>
      <c r="R364" s="507">
        <f>R362*波及効果シート!$D$74</f>
        <v>30132.577904169837</v>
      </c>
      <c r="S364" s="507">
        <f>S362*波及効果シート!$D$74</f>
        <v>30132.577904169837</v>
      </c>
      <c r="T364" s="507">
        <f>T362*波及効果シート!$D$74</f>
        <v>30132.577904169837</v>
      </c>
      <c r="U364" s="507">
        <f>U362*波及効果シート!$D$74</f>
        <v>30132.577904169837</v>
      </c>
      <c r="V364" s="507">
        <f>V362*波及効果シート!$D$74</f>
        <v>30132.577904169837</v>
      </c>
      <c r="W364" s="507">
        <f>W362*波及効果シート!$D$74</f>
        <v>30132.577904169837</v>
      </c>
      <c r="X364" s="507">
        <f>X362*波及効果シート!$D$74</f>
        <v>30132.577904169837</v>
      </c>
      <c r="Y364" s="507">
        <f>Y362*波及効果シート!$D$74</f>
        <v>30132.577904169837</v>
      </c>
      <c r="Z364" s="507">
        <f>Z362*波及効果シート!$D$74</f>
        <v>30132.577904169837</v>
      </c>
      <c r="AA364" s="507">
        <f>AA362*波及効果シート!$D$74</f>
        <v>30132.577904169837</v>
      </c>
      <c r="AB364" s="507">
        <f>AB362*波及効果シート!$D$74</f>
        <v>30132.577904169837</v>
      </c>
      <c r="AC364" s="507">
        <f>AC362*波及効果シート!$D$74</f>
        <v>30132.577904169837</v>
      </c>
      <c r="AD364" s="507">
        <f>AD362*波及効果シート!$D$74</f>
        <v>30132.577904169837</v>
      </c>
      <c r="AE364" s="507">
        <f>AE362*波及効果シート!$D$74</f>
        <v>30132.577904169837</v>
      </c>
      <c r="AF364" s="507">
        <f>AF362*波及効果シート!$D$74</f>
        <v>30132.577904169837</v>
      </c>
      <c r="AG364" s="507">
        <f>AG362*波及効果シート!$D$74</f>
        <v>30132.577904169837</v>
      </c>
      <c r="AH364" s="507">
        <f>AH362*波及効果シート!$D$74</f>
        <v>30132.577904169837</v>
      </c>
      <c r="AI364" s="548">
        <f t="shared" si="182"/>
        <v>301325.77904169838</v>
      </c>
      <c r="AJ364" s="548">
        <f>SUM(D364:X364)</f>
        <v>602651.55808339675</v>
      </c>
      <c r="AK364" s="510">
        <f>SUM(D364:AH364)</f>
        <v>903977.33712509472</v>
      </c>
    </row>
    <row r="365" spans="1:37" ht="11.5" x14ac:dyDescent="0.25">
      <c r="A365" s="546" t="str">
        <f>A361&amp;B365</f>
        <v>不動産業所得税（国税）</v>
      </c>
      <c r="B365" s="452" t="s">
        <v>356</v>
      </c>
      <c r="C365" s="465" t="s">
        <v>37</v>
      </c>
      <c r="D365" s="507">
        <f>D362*地域経済性分析・初期条件!$P$75</f>
        <v>0</v>
      </c>
      <c r="E365" s="507">
        <f>E362*地域経済性分析・初期条件!$P$75</f>
        <v>0</v>
      </c>
      <c r="F365" s="507">
        <f>F362*地域経済性分析・初期条件!$P$75</f>
        <v>0</v>
      </c>
      <c r="G365" s="507">
        <f>G362*地域経済性分析・初期条件!$P$75</f>
        <v>0</v>
      </c>
      <c r="H365" s="507">
        <f>H362*地域経済性分析・初期条件!$P$75</f>
        <v>0</v>
      </c>
      <c r="I365" s="507">
        <f>I362*地域経済性分析・初期条件!$P$75</f>
        <v>0</v>
      </c>
      <c r="J365" s="507">
        <f>J362*地域経済性分析・初期条件!$P$75</f>
        <v>0</v>
      </c>
      <c r="K365" s="507">
        <f>K362*地域経済性分析・初期条件!$P$75</f>
        <v>0</v>
      </c>
      <c r="L365" s="507">
        <f>L362*地域経済性分析・初期条件!$P$75</f>
        <v>0</v>
      </c>
      <c r="M365" s="507">
        <f>M362*地域経済性分析・初期条件!$P$75</f>
        <v>0</v>
      </c>
      <c r="N365" s="507">
        <f>N362*地域経済性分析・初期条件!$P$75</f>
        <v>0</v>
      </c>
      <c r="O365" s="507">
        <f>O362*地域経済性分析・初期条件!$P$75</f>
        <v>0</v>
      </c>
      <c r="P365" s="507">
        <f>P362*地域経済性分析・初期条件!$P$75</f>
        <v>0</v>
      </c>
      <c r="Q365" s="507">
        <f>Q362*地域経済性分析・初期条件!$P$75</f>
        <v>0</v>
      </c>
      <c r="R365" s="507">
        <f>R362*地域経済性分析・初期条件!$P$75</f>
        <v>0</v>
      </c>
      <c r="S365" s="507">
        <f>S362*地域経済性分析・初期条件!$P$75</f>
        <v>0</v>
      </c>
      <c r="T365" s="507">
        <f>T362*地域経済性分析・初期条件!$P$75</f>
        <v>0</v>
      </c>
      <c r="U365" s="507">
        <f>U362*地域経済性分析・初期条件!$P$75</f>
        <v>0</v>
      </c>
      <c r="V365" s="507">
        <f>V362*地域経済性分析・初期条件!$P$75</f>
        <v>0</v>
      </c>
      <c r="W365" s="507">
        <f>W362*地域経済性分析・初期条件!$P$75</f>
        <v>0</v>
      </c>
      <c r="X365" s="507">
        <f>X362*地域経済性分析・初期条件!$P$75</f>
        <v>0</v>
      </c>
      <c r="Y365" s="507">
        <f>Y362*地域経済性分析・初期条件!$P$75</f>
        <v>0</v>
      </c>
      <c r="Z365" s="507">
        <f>Z362*地域経済性分析・初期条件!$P$75</f>
        <v>0</v>
      </c>
      <c r="AA365" s="507">
        <f>AA362*地域経済性分析・初期条件!$P$75</f>
        <v>0</v>
      </c>
      <c r="AB365" s="507">
        <f>AB362*地域経済性分析・初期条件!$P$75</f>
        <v>0</v>
      </c>
      <c r="AC365" s="507">
        <f>AC362*地域経済性分析・初期条件!$P$75</f>
        <v>0</v>
      </c>
      <c r="AD365" s="507">
        <f>AD362*地域経済性分析・初期条件!$P$75</f>
        <v>0</v>
      </c>
      <c r="AE365" s="507">
        <f>AE362*地域経済性分析・初期条件!$P$75</f>
        <v>0</v>
      </c>
      <c r="AF365" s="507">
        <f>AF362*地域経済性分析・初期条件!$P$75</f>
        <v>0</v>
      </c>
      <c r="AG365" s="507">
        <f>AG362*地域経済性分析・初期条件!$P$75</f>
        <v>0</v>
      </c>
      <c r="AH365" s="507">
        <f>AH362*地域経済性分析・初期条件!$P$75</f>
        <v>0</v>
      </c>
      <c r="AI365" s="548">
        <f t="shared" si="182"/>
        <v>0</v>
      </c>
      <c r="AJ365" s="548">
        <f>SUM(D365:X365)</f>
        <v>0</v>
      </c>
      <c r="AK365" s="510">
        <f>SUM(D365:AH365)</f>
        <v>0</v>
      </c>
    </row>
    <row r="366" spans="1:37" ht="11.5" x14ac:dyDescent="0.25">
      <c r="A366" s="546" t="str">
        <f>A361&amp;B366</f>
        <v>不動産業法人税（国税）</v>
      </c>
      <c r="B366" s="452" t="s">
        <v>355</v>
      </c>
      <c r="C366" s="465" t="s">
        <v>37</v>
      </c>
      <c r="D366" s="507">
        <f>D362*地域経済性分析・初期条件!$Q$75</f>
        <v>0</v>
      </c>
      <c r="E366" s="507">
        <f>E362*地域経済性分析・初期条件!$Q$75</f>
        <v>0</v>
      </c>
      <c r="F366" s="507">
        <f>F362*地域経済性分析・初期条件!$Q$75</f>
        <v>0</v>
      </c>
      <c r="G366" s="507">
        <f>G362*地域経済性分析・初期条件!$Q$75</f>
        <v>0</v>
      </c>
      <c r="H366" s="507">
        <f>H362*地域経済性分析・初期条件!$Q$75</f>
        <v>0</v>
      </c>
      <c r="I366" s="507">
        <f>I362*地域経済性分析・初期条件!$Q$75</f>
        <v>0</v>
      </c>
      <c r="J366" s="507">
        <f>J362*地域経済性分析・初期条件!$Q$75</f>
        <v>0</v>
      </c>
      <c r="K366" s="507">
        <f>K362*地域経済性分析・初期条件!$Q$75</f>
        <v>0</v>
      </c>
      <c r="L366" s="507">
        <f>L362*地域経済性分析・初期条件!$Q$75</f>
        <v>0</v>
      </c>
      <c r="M366" s="507">
        <f>M362*地域経済性分析・初期条件!$Q$75</f>
        <v>0</v>
      </c>
      <c r="N366" s="507">
        <f>N362*地域経済性分析・初期条件!$Q$75</f>
        <v>0</v>
      </c>
      <c r="O366" s="507">
        <f>O362*地域経済性分析・初期条件!$Q$75</f>
        <v>0</v>
      </c>
      <c r="P366" s="507">
        <f>P362*地域経済性分析・初期条件!$Q$75</f>
        <v>0</v>
      </c>
      <c r="Q366" s="507">
        <f>Q362*地域経済性分析・初期条件!$Q$75</f>
        <v>0</v>
      </c>
      <c r="R366" s="507">
        <f>R362*地域経済性分析・初期条件!$Q$75</f>
        <v>0</v>
      </c>
      <c r="S366" s="507">
        <f>S362*地域経済性分析・初期条件!$Q$75</f>
        <v>0</v>
      </c>
      <c r="T366" s="507">
        <f>T362*地域経済性分析・初期条件!$Q$75</f>
        <v>0</v>
      </c>
      <c r="U366" s="507">
        <f>U362*地域経済性分析・初期条件!$Q$75</f>
        <v>0</v>
      </c>
      <c r="V366" s="507">
        <f>V362*地域経済性分析・初期条件!$Q$75</f>
        <v>0</v>
      </c>
      <c r="W366" s="507">
        <f>W362*地域経済性分析・初期条件!$Q$75</f>
        <v>0</v>
      </c>
      <c r="X366" s="507">
        <f>X362*地域経済性分析・初期条件!$Q$75</f>
        <v>0</v>
      </c>
      <c r="Y366" s="507">
        <f>Y362*地域経済性分析・初期条件!$Q$75</f>
        <v>0</v>
      </c>
      <c r="Z366" s="507">
        <f>Z362*地域経済性分析・初期条件!$Q$75</f>
        <v>0</v>
      </c>
      <c r="AA366" s="507">
        <f>AA362*地域経済性分析・初期条件!$Q$75</f>
        <v>0</v>
      </c>
      <c r="AB366" s="507">
        <f>AB362*地域経済性分析・初期条件!$Q$75</f>
        <v>0</v>
      </c>
      <c r="AC366" s="507">
        <f>AC362*地域経済性分析・初期条件!$Q$75</f>
        <v>0</v>
      </c>
      <c r="AD366" s="507">
        <f>AD362*地域経済性分析・初期条件!$Q$75</f>
        <v>0</v>
      </c>
      <c r="AE366" s="507">
        <f>AE362*地域経済性分析・初期条件!$Q$75</f>
        <v>0</v>
      </c>
      <c r="AF366" s="507">
        <f>AF362*地域経済性分析・初期条件!$Q$75</f>
        <v>0</v>
      </c>
      <c r="AG366" s="507">
        <f>AG362*地域経済性分析・初期条件!$Q$75</f>
        <v>0</v>
      </c>
      <c r="AH366" s="507">
        <f>AH362*地域経済性分析・初期条件!$Q$75</f>
        <v>0</v>
      </c>
      <c r="AI366" s="548">
        <f t="shared" si="182"/>
        <v>0</v>
      </c>
      <c r="AJ366" s="548">
        <f>SUM(D366:X366)</f>
        <v>0</v>
      </c>
      <c r="AK366" s="510">
        <f>SUM(D366:AH366)</f>
        <v>0</v>
      </c>
    </row>
    <row r="367" spans="1:37" ht="11.5" x14ac:dyDescent="0.25">
      <c r="A367" s="546" t="str">
        <f>A361&amp;B367</f>
        <v>不動産業従業員の可処分所得（一次）</v>
      </c>
      <c r="B367" s="452" t="s">
        <v>339</v>
      </c>
      <c r="C367" s="464" t="s">
        <v>37</v>
      </c>
      <c r="D367" s="507">
        <f>D362*地域経済性分析・初期条件!$H$75</f>
        <v>0</v>
      </c>
      <c r="E367" s="507">
        <f>E362*地域経済性分析・初期条件!$H$75</f>
        <v>216866.56238647216</v>
      </c>
      <c r="F367" s="478">
        <f>F362*地域経済性分析・初期条件!$H$75</f>
        <v>216866.56238647216</v>
      </c>
      <c r="G367" s="478">
        <f>G362*地域経済性分析・初期条件!$H$75</f>
        <v>216866.56238647216</v>
      </c>
      <c r="H367" s="478">
        <f>H362*地域経済性分析・初期条件!$H$75</f>
        <v>216866.56238647216</v>
      </c>
      <c r="I367" s="478">
        <f>I362*地域経済性分析・初期条件!$H$75</f>
        <v>216866.56238647216</v>
      </c>
      <c r="J367" s="478">
        <f>J362*地域経済性分析・初期条件!$H$75</f>
        <v>216866.56238647216</v>
      </c>
      <c r="K367" s="478">
        <f>K362*地域経済性分析・初期条件!$H$75</f>
        <v>216866.56238647216</v>
      </c>
      <c r="L367" s="478">
        <f>L362*地域経済性分析・初期条件!$H$75</f>
        <v>216866.56238647216</v>
      </c>
      <c r="M367" s="478">
        <f>M362*地域経済性分析・初期条件!$H$75</f>
        <v>216866.56238647216</v>
      </c>
      <c r="N367" s="478">
        <f>N362*地域経済性分析・初期条件!$H$75</f>
        <v>216866.56238647216</v>
      </c>
      <c r="O367" s="478">
        <f>O362*地域経済性分析・初期条件!$H$75</f>
        <v>216866.56238647216</v>
      </c>
      <c r="P367" s="478">
        <f>P362*地域経済性分析・初期条件!$H$75</f>
        <v>216866.56238647216</v>
      </c>
      <c r="Q367" s="478">
        <f>Q362*地域経済性分析・初期条件!$H$75</f>
        <v>216866.56238647216</v>
      </c>
      <c r="R367" s="478">
        <f>R362*地域経済性分析・初期条件!$H$75</f>
        <v>216866.56238647216</v>
      </c>
      <c r="S367" s="478">
        <f>S362*地域経済性分析・初期条件!$H$75</f>
        <v>216866.56238647216</v>
      </c>
      <c r="T367" s="478">
        <f>T362*地域経済性分析・初期条件!$H$75</f>
        <v>216866.56238647216</v>
      </c>
      <c r="U367" s="478">
        <f>U362*地域経済性分析・初期条件!$H$75</f>
        <v>216866.56238647216</v>
      </c>
      <c r="V367" s="478">
        <f>V362*地域経済性分析・初期条件!$H$75</f>
        <v>216866.56238647216</v>
      </c>
      <c r="W367" s="478">
        <f>W362*地域経済性分析・初期条件!$H$75</f>
        <v>216866.56238647216</v>
      </c>
      <c r="X367" s="478">
        <f>X362*地域経済性分析・初期条件!$H$75</f>
        <v>216866.56238647216</v>
      </c>
      <c r="Y367" s="478">
        <f>Y362*地域経済性分析・初期条件!$H$75</f>
        <v>216866.56238647216</v>
      </c>
      <c r="Z367" s="478">
        <f>Z362*地域経済性分析・初期条件!$H$75</f>
        <v>216866.56238647216</v>
      </c>
      <c r="AA367" s="478">
        <f>AA362*地域経済性分析・初期条件!$H$75</f>
        <v>216866.56238647216</v>
      </c>
      <c r="AB367" s="478">
        <f>AB362*地域経済性分析・初期条件!$H$75</f>
        <v>216866.56238647216</v>
      </c>
      <c r="AC367" s="478">
        <f>AC362*地域経済性分析・初期条件!$H$75</f>
        <v>216866.56238647216</v>
      </c>
      <c r="AD367" s="478">
        <f>AD362*地域経済性分析・初期条件!$H$75</f>
        <v>216866.56238647216</v>
      </c>
      <c r="AE367" s="478">
        <f>AE362*地域経済性分析・初期条件!$H$75</f>
        <v>216866.56238647216</v>
      </c>
      <c r="AF367" s="478">
        <f>AF362*地域経済性分析・初期条件!$H$75</f>
        <v>216866.56238647216</v>
      </c>
      <c r="AG367" s="478">
        <f>AG362*地域経済性分析・初期条件!$H$75</f>
        <v>216866.56238647216</v>
      </c>
      <c r="AH367" s="478">
        <f>AH362*地域経済性分析・初期条件!$H$75</f>
        <v>216866.56238647216</v>
      </c>
      <c r="AI367" s="548">
        <f t="shared" si="182"/>
        <v>2168665.623864722</v>
      </c>
      <c r="AJ367" s="548">
        <f t="shared" ref="AJ367:AJ374" si="183">SUM(D367:X367)</f>
        <v>4337331.2477294439</v>
      </c>
      <c r="AK367" s="510">
        <f t="shared" ref="AK367:AK374" si="184">SUM(D367:AH367)</f>
        <v>6505996.8715941617</v>
      </c>
    </row>
    <row r="368" spans="1:37" ht="11.5" x14ac:dyDescent="0.25">
      <c r="A368" s="546" t="str">
        <f>A361&amp;B368</f>
        <v>不動産業企業の税引後利益（一次）</v>
      </c>
      <c r="B368" s="452" t="s">
        <v>340</v>
      </c>
      <c r="C368" s="464" t="s">
        <v>37</v>
      </c>
      <c r="D368" s="507">
        <f>D362*地域経済性分析・初期条件!$I$75</f>
        <v>0</v>
      </c>
      <c r="E368" s="507">
        <f>E362*地域経済性分析・初期条件!$I$75</f>
        <v>264343.17783239787</v>
      </c>
      <c r="F368" s="478">
        <f>F362*地域経済性分析・初期条件!$I$75</f>
        <v>264343.17783239787</v>
      </c>
      <c r="G368" s="478">
        <f>G362*地域経済性分析・初期条件!$I$75</f>
        <v>264343.17783239787</v>
      </c>
      <c r="H368" s="478">
        <f>H362*地域経済性分析・初期条件!$I$75</f>
        <v>264343.17783239787</v>
      </c>
      <c r="I368" s="478">
        <f>I362*地域経済性分析・初期条件!$I$75</f>
        <v>264343.17783239787</v>
      </c>
      <c r="J368" s="478">
        <f>J362*地域経済性分析・初期条件!$I$75</f>
        <v>264343.17783239787</v>
      </c>
      <c r="K368" s="478">
        <f>K362*地域経済性分析・初期条件!$I$75</f>
        <v>264343.17783239787</v>
      </c>
      <c r="L368" s="478">
        <f>L362*地域経済性分析・初期条件!$I$75</f>
        <v>264343.17783239787</v>
      </c>
      <c r="M368" s="478">
        <f>M362*地域経済性分析・初期条件!$I$75</f>
        <v>264343.17783239787</v>
      </c>
      <c r="N368" s="478">
        <f>N362*地域経済性分析・初期条件!$I$75</f>
        <v>264343.17783239787</v>
      </c>
      <c r="O368" s="478">
        <f>O362*地域経済性分析・初期条件!$I$75</f>
        <v>264343.17783239787</v>
      </c>
      <c r="P368" s="478">
        <f>P362*地域経済性分析・初期条件!$I$75</f>
        <v>264343.17783239787</v>
      </c>
      <c r="Q368" s="478">
        <f>Q362*地域経済性分析・初期条件!$I$75</f>
        <v>264343.17783239787</v>
      </c>
      <c r="R368" s="478">
        <f>R362*地域経済性分析・初期条件!$I$75</f>
        <v>264343.17783239787</v>
      </c>
      <c r="S368" s="478">
        <f>S362*地域経済性分析・初期条件!$I$75</f>
        <v>264343.17783239787</v>
      </c>
      <c r="T368" s="478">
        <f>T362*地域経済性分析・初期条件!$I$75</f>
        <v>264343.17783239787</v>
      </c>
      <c r="U368" s="478">
        <f>U362*地域経済性分析・初期条件!$I$75</f>
        <v>264343.17783239787</v>
      </c>
      <c r="V368" s="478">
        <f>V362*地域経済性分析・初期条件!$I$75</f>
        <v>264343.17783239787</v>
      </c>
      <c r="W368" s="478">
        <f>W362*地域経済性分析・初期条件!$I$75</f>
        <v>264343.17783239787</v>
      </c>
      <c r="X368" s="478">
        <f>X362*地域経済性分析・初期条件!$I$75</f>
        <v>264343.17783239787</v>
      </c>
      <c r="Y368" s="478">
        <f>Y362*地域経済性分析・初期条件!$I$75</f>
        <v>264343.17783239787</v>
      </c>
      <c r="Z368" s="478">
        <f>Z362*地域経済性分析・初期条件!$I$75</f>
        <v>264343.17783239787</v>
      </c>
      <c r="AA368" s="478">
        <f>AA362*地域経済性分析・初期条件!$I$75</f>
        <v>264343.17783239787</v>
      </c>
      <c r="AB368" s="478">
        <f>AB362*地域経済性分析・初期条件!$I$75</f>
        <v>264343.17783239787</v>
      </c>
      <c r="AC368" s="478">
        <f>AC362*地域経済性分析・初期条件!$I$75</f>
        <v>264343.17783239787</v>
      </c>
      <c r="AD368" s="478">
        <f>AD362*地域経済性分析・初期条件!$I$75</f>
        <v>264343.17783239787</v>
      </c>
      <c r="AE368" s="478">
        <f>AE362*地域経済性分析・初期条件!$I$75</f>
        <v>264343.17783239787</v>
      </c>
      <c r="AF368" s="478">
        <f>AF362*地域経済性分析・初期条件!$I$75</f>
        <v>264343.17783239787</v>
      </c>
      <c r="AG368" s="478">
        <f>AG362*地域経済性分析・初期条件!$I$75</f>
        <v>264343.17783239787</v>
      </c>
      <c r="AH368" s="478">
        <f>AH362*地域経済性分析・初期条件!$I$75</f>
        <v>264343.17783239787</v>
      </c>
      <c r="AI368" s="548">
        <f t="shared" si="182"/>
        <v>2643431.7783239782</v>
      </c>
      <c r="AJ368" s="548">
        <f t="shared" si="183"/>
        <v>5286863.5566479545</v>
      </c>
      <c r="AK368" s="510">
        <f t="shared" si="184"/>
        <v>7930295.3349719308</v>
      </c>
    </row>
    <row r="369" spans="1:37" ht="11.5" x14ac:dyDescent="0.25">
      <c r="A369" s="546" t="str">
        <f>A361&amp;B369</f>
        <v>不動産業都道府県税収（一次）</v>
      </c>
      <c r="B369" s="452" t="s">
        <v>341</v>
      </c>
      <c r="C369" s="464" t="s">
        <v>37</v>
      </c>
      <c r="D369" s="507">
        <f>D362*地域経済性分析・初期条件!$J$75</f>
        <v>0</v>
      </c>
      <c r="E369" s="507">
        <f>E362*地域経済性分析・初期条件!$J$75</f>
        <v>53956.467704017909</v>
      </c>
      <c r="F369" s="478">
        <f>F362*地域経済性分析・初期条件!$J$75</f>
        <v>53956.467704017909</v>
      </c>
      <c r="G369" s="478">
        <f>G362*地域経済性分析・初期条件!$J$75</f>
        <v>53956.467704017909</v>
      </c>
      <c r="H369" s="478">
        <f>H362*地域経済性分析・初期条件!$J$75</f>
        <v>53956.467704017909</v>
      </c>
      <c r="I369" s="478">
        <f>I362*地域経済性分析・初期条件!$J$75</f>
        <v>53956.467704017909</v>
      </c>
      <c r="J369" s="478">
        <f>J362*地域経済性分析・初期条件!$J$75</f>
        <v>53956.467704017909</v>
      </c>
      <c r="K369" s="478">
        <f>K362*地域経済性分析・初期条件!$J$75</f>
        <v>53956.467704017909</v>
      </c>
      <c r="L369" s="478">
        <f>L362*地域経済性分析・初期条件!$J$75</f>
        <v>53956.467704017909</v>
      </c>
      <c r="M369" s="478">
        <f>M362*地域経済性分析・初期条件!$J$75</f>
        <v>53956.467704017909</v>
      </c>
      <c r="N369" s="478">
        <f>N362*地域経済性分析・初期条件!$J$75</f>
        <v>53956.467704017909</v>
      </c>
      <c r="O369" s="478">
        <f>O362*地域経済性分析・初期条件!$J$75</f>
        <v>53956.467704017909</v>
      </c>
      <c r="P369" s="478">
        <f>P362*地域経済性分析・初期条件!$J$75</f>
        <v>53956.467704017909</v>
      </c>
      <c r="Q369" s="478">
        <f>Q362*地域経済性分析・初期条件!$J$75</f>
        <v>53956.467704017909</v>
      </c>
      <c r="R369" s="478">
        <f>R362*地域経済性分析・初期条件!$J$75</f>
        <v>53956.467704017909</v>
      </c>
      <c r="S369" s="478">
        <f>S362*地域経済性分析・初期条件!$J$75</f>
        <v>53956.467704017909</v>
      </c>
      <c r="T369" s="478">
        <f>T362*地域経済性分析・初期条件!$J$75</f>
        <v>53956.467704017909</v>
      </c>
      <c r="U369" s="478">
        <f>U362*地域経済性分析・初期条件!$J$75</f>
        <v>53956.467704017909</v>
      </c>
      <c r="V369" s="478">
        <f>V362*地域経済性分析・初期条件!$J$75</f>
        <v>53956.467704017909</v>
      </c>
      <c r="W369" s="478">
        <f>W362*地域経済性分析・初期条件!$J$75</f>
        <v>53956.467704017909</v>
      </c>
      <c r="X369" s="478">
        <f>X362*地域経済性分析・初期条件!$J$75</f>
        <v>53956.467704017909</v>
      </c>
      <c r="Y369" s="478">
        <f>Y362*地域経済性分析・初期条件!$J$75</f>
        <v>53956.467704017909</v>
      </c>
      <c r="Z369" s="478">
        <f>Z362*地域経済性分析・初期条件!$J$75</f>
        <v>53956.467704017909</v>
      </c>
      <c r="AA369" s="478">
        <f>AA362*地域経済性分析・初期条件!$J$75</f>
        <v>53956.467704017909</v>
      </c>
      <c r="AB369" s="478">
        <f>AB362*地域経済性分析・初期条件!$J$75</f>
        <v>53956.467704017909</v>
      </c>
      <c r="AC369" s="478">
        <f>AC362*地域経済性分析・初期条件!$J$75</f>
        <v>53956.467704017909</v>
      </c>
      <c r="AD369" s="478">
        <f>AD362*地域経済性分析・初期条件!$J$75</f>
        <v>53956.467704017909</v>
      </c>
      <c r="AE369" s="478">
        <f>AE362*地域経済性分析・初期条件!$J$75</f>
        <v>53956.467704017909</v>
      </c>
      <c r="AF369" s="478">
        <f>AF362*地域経済性分析・初期条件!$J$75</f>
        <v>53956.467704017909</v>
      </c>
      <c r="AG369" s="478">
        <f>AG362*地域経済性分析・初期条件!$J$75</f>
        <v>53956.467704017909</v>
      </c>
      <c r="AH369" s="478">
        <f>AH362*地域経済性分析・初期条件!$J$75</f>
        <v>53956.467704017909</v>
      </c>
      <c r="AI369" s="548">
        <f t="shared" si="182"/>
        <v>539564.67704017891</v>
      </c>
      <c r="AJ369" s="548">
        <f t="shared" si="183"/>
        <v>1079129.3540803578</v>
      </c>
      <c r="AK369" s="510">
        <f t="shared" si="184"/>
        <v>1618694.0311205366</v>
      </c>
    </row>
    <row r="370" spans="1:37" ht="11.5" x14ac:dyDescent="0.25">
      <c r="A370" s="546" t="str">
        <f>A361&amp;B370</f>
        <v>不動産業市町村税収（一次）</v>
      </c>
      <c r="B370" s="452" t="s">
        <v>342</v>
      </c>
      <c r="C370" s="465" t="s">
        <v>37</v>
      </c>
      <c r="D370" s="507">
        <f>D362*地域経済性分析・初期条件!$K$75</f>
        <v>0</v>
      </c>
      <c r="E370" s="478">
        <f>E362*地域経済性分析・初期条件!$K$75</f>
        <v>16835.662388374545</v>
      </c>
      <c r="F370" s="478">
        <f>F362*地域経済性分析・初期条件!$K$75</f>
        <v>16835.662388374545</v>
      </c>
      <c r="G370" s="478">
        <f>G362*地域経済性分析・初期条件!$K$75</f>
        <v>16835.662388374545</v>
      </c>
      <c r="H370" s="478">
        <f>H362*地域経済性分析・初期条件!$K$75</f>
        <v>16835.662388374545</v>
      </c>
      <c r="I370" s="478">
        <f>I362*地域経済性分析・初期条件!$K$75</f>
        <v>16835.662388374545</v>
      </c>
      <c r="J370" s="478">
        <f>J362*地域経済性分析・初期条件!$K$75</f>
        <v>16835.662388374545</v>
      </c>
      <c r="K370" s="478">
        <f>K362*地域経済性分析・初期条件!$K$75</f>
        <v>16835.662388374545</v>
      </c>
      <c r="L370" s="478">
        <f>L362*地域経済性分析・初期条件!$K$75</f>
        <v>16835.662388374545</v>
      </c>
      <c r="M370" s="478">
        <f>M362*地域経済性分析・初期条件!$K$75</f>
        <v>16835.662388374545</v>
      </c>
      <c r="N370" s="478">
        <f>N362*地域経済性分析・初期条件!$K$75</f>
        <v>16835.662388374545</v>
      </c>
      <c r="O370" s="478">
        <f>O362*地域経済性分析・初期条件!$K$75</f>
        <v>16835.662388374545</v>
      </c>
      <c r="P370" s="478">
        <f>P362*地域経済性分析・初期条件!$K$75</f>
        <v>16835.662388374545</v>
      </c>
      <c r="Q370" s="478">
        <f>Q362*地域経済性分析・初期条件!$K$75</f>
        <v>16835.662388374545</v>
      </c>
      <c r="R370" s="478">
        <f>R362*地域経済性分析・初期条件!$K$75</f>
        <v>16835.662388374545</v>
      </c>
      <c r="S370" s="478">
        <f>S362*地域経済性分析・初期条件!$K$75</f>
        <v>16835.662388374545</v>
      </c>
      <c r="T370" s="478">
        <f>T362*地域経済性分析・初期条件!$K$75</f>
        <v>16835.662388374545</v>
      </c>
      <c r="U370" s="478">
        <f>U362*地域経済性分析・初期条件!$K$75</f>
        <v>16835.662388374545</v>
      </c>
      <c r="V370" s="478">
        <f>V362*地域経済性分析・初期条件!$K$75</f>
        <v>16835.662388374545</v>
      </c>
      <c r="W370" s="478">
        <f>W362*地域経済性分析・初期条件!$K$75</f>
        <v>16835.662388374545</v>
      </c>
      <c r="X370" s="478">
        <f>X362*地域経済性分析・初期条件!$K$75</f>
        <v>16835.662388374545</v>
      </c>
      <c r="Y370" s="478">
        <f>Y362*地域経済性分析・初期条件!$K$75</f>
        <v>16835.662388374545</v>
      </c>
      <c r="Z370" s="478">
        <f>Z362*地域経済性分析・初期条件!$K$75</f>
        <v>16835.662388374545</v>
      </c>
      <c r="AA370" s="478">
        <f>AA362*地域経済性分析・初期条件!$K$75</f>
        <v>16835.662388374545</v>
      </c>
      <c r="AB370" s="478">
        <f>AB362*地域経済性分析・初期条件!$K$75</f>
        <v>16835.662388374545</v>
      </c>
      <c r="AC370" s="478">
        <f>AC362*地域経済性分析・初期条件!$K$75</f>
        <v>16835.662388374545</v>
      </c>
      <c r="AD370" s="478">
        <f>AD362*地域経済性分析・初期条件!$K$75</f>
        <v>16835.662388374545</v>
      </c>
      <c r="AE370" s="478">
        <f>AE362*地域経済性分析・初期条件!$K$75</f>
        <v>16835.662388374545</v>
      </c>
      <c r="AF370" s="478">
        <f>AF362*地域経済性分析・初期条件!$K$75</f>
        <v>16835.662388374545</v>
      </c>
      <c r="AG370" s="478">
        <f>AG362*地域経済性分析・初期条件!$K$75</f>
        <v>16835.662388374545</v>
      </c>
      <c r="AH370" s="478">
        <f>AH362*地域経済性分析・初期条件!$K$75</f>
        <v>16835.662388374545</v>
      </c>
      <c r="AI370" s="548">
        <f t="shared" si="182"/>
        <v>168356.62388374543</v>
      </c>
      <c r="AJ370" s="548">
        <f t="shared" si="183"/>
        <v>336713.24776749092</v>
      </c>
      <c r="AK370" s="510">
        <f t="shared" si="184"/>
        <v>505069.87165123655</v>
      </c>
    </row>
    <row r="371" spans="1:37" ht="11.5" x14ac:dyDescent="0.25">
      <c r="A371" s="546" t="str">
        <f>A361&amp;B371</f>
        <v>不動産業従業員の可処分所得（二次以降）</v>
      </c>
      <c r="B371" s="452" t="s">
        <v>344</v>
      </c>
      <c r="C371" s="465" t="s">
        <v>37</v>
      </c>
      <c r="D371" s="507">
        <f>D362*地域経済性分析・初期条件!$L$75</f>
        <v>0</v>
      </c>
      <c r="E371" s="478">
        <f>E362*地域経済性分析・初期条件!$L$75</f>
        <v>181038.77932371481</v>
      </c>
      <c r="F371" s="478">
        <f>F362*地域経済性分析・初期条件!$L$75</f>
        <v>181038.77932371481</v>
      </c>
      <c r="G371" s="478">
        <f>G362*地域経済性分析・初期条件!$L$75</f>
        <v>181038.77932371481</v>
      </c>
      <c r="H371" s="478">
        <f>H362*地域経済性分析・初期条件!$L$75</f>
        <v>181038.77932371481</v>
      </c>
      <c r="I371" s="478">
        <f>I362*地域経済性分析・初期条件!$L$75</f>
        <v>181038.77932371481</v>
      </c>
      <c r="J371" s="478">
        <f>J362*地域経済性分析・初期条件!$L$75</f>
        <v>181038.77932371481</v>
      </c>
      <c r="K371" s="478">
        <f>K362*地域経済性分析・初期条件!$L$75</f>
        <v>181038.77932371481</v>
      </c>
      <c r="L371" s="478">
        <f>L362*地域経済性分析・初期条件!$L$75</f>
        <v>181038.77932371481</v>
      </c>
      <c r="M371" s="478">
        <f>M362*地域経済性分析・初期条件!$L$75</f>
        <v>181038.77932371481</v>
      </c>
      <c r="N371" s="478">
        <f>N362*地域経済性分析・初期条件!$L$75</f>
        <v>181038.77932371481</v>
      </c>
      <c r="O371" s="478">
        <f>O362*地域経済性分析・初期条件!$L$75</f>
        <v>181038.77932371481</v>
      </c>
      <c r="P371" s="478">
        <f>P362*地域経済性分析・初期条件!$L$75</f>
        <v>181038.77932371481</v>
      </c>
      <c r="Q371" s="478">
        <f>Q362*地域経済性分析・初期条件!$L$75</f>
        <v>181038.77932371481</v>
      </c>
      <c r="R371" s="478">
        <f>R362*地域経済性分析・初期条件!$L$75</f>
        <v>181038.77932371481</v>
      </c>
      <c r="S371" s="478">
        <f>S362*地域経済性分析・初期条件!$L$75</f>
        <v>181038.77932371481</v>
      </c>
      <c r="T371" s="478">
        <f>T362*地域経済性分析・初期条件!$L$75</f>
        <v>181038.77932371481</v>
      </c>
      <c r="U371" s="478">
        <f>U362*地域経済性分析・初期条件!$L$75</f>
        <v>181038.77932371481</v>
      </c>
      <c r="V371" s="478">
        <f>V362*地域経済性分析・初期条件!$L$75</f>
        <v>181038.77932371481</v>
      </c>
      <c r="W371" s="478">
        <f>W362*地域経済性分析・初期条件!$L$75</f>
        <v>181038.77932371481</v>
      </c>
      <c r="X371" s="478">
        <f>X362*地域経済性分析・初期条件!$L$75</f>
        <v>181038.77932371481</v>
      </c>
      <c r="Y371" s="478">
        <f>Y362*地域経済性分析・初期条件!$L$75</f>
        <v>181038.77932371481</v>
      </c>
      <c r="Z371" s="478">
        <f>Z362*地域経済性分析・初期条件!$L$75</f>
        <v>181038.77932371481</v>
      </c>
      <c r="AA371" s="478">
        <f>AA362*地域経済性分析・初期条件!$L$75</f>
        <v>181038.77932371481</v>
      </c>
      <c r="AB371" s="478">
        <f>AB362*地域経済性分析・初期条件!$L$75</f>
        <v>181038.77932371481</v>
      </c>
      <c r="AC371" s="478">
        <f>AC362*地域経済性分析・初期条件!$L$75</f>
        <v>181038.77932371481</v>
      </c>
      <c r="AD371" s="478">
        <f>AD362*地域経済性分析・初期条件!$L$75</f>
        <v>181038.77932371481</v>
      </c>
      <c r="AE371" s="478">
        <f>AE362*地域経済性分析・初期条件!$L$75</f>
        <v>181038.77932371481</v>
      </c>
      <c r="AF371" s="478">
        <f>AF362*地域経済性分析・初期条件!$L$75</f>
        <v>181038.77932371481</v>
      </c>
      <c r="AG371" s="478">
        <f>AG362*地域経済性分析・初期条件!$L$75</f>
        <v>181038.77932371481</v>
      </c>
      <c r="AH371" s="478">
        <f>AH362*地域経済性分析・初期条件!$L$75</f>
        <v>181038.77932371481</v>
      </c>
      <c r="AI371" s="548">
        <f>SUM(D371:N371)</f>
        <v>1810387.7932371481</v>
      </c>
      <c r="AJ371" s="548">
        <f t="shared" si="183"/>
        <v>3620775.5864742962</v>
      </c>
      <c r="AK371" s="510">
        <f t="shared" si="184"/>
        <v>5431163.3797114445</v>
      </c>
    </row>
    <row r="372" spans="1:37" ht="11.5" x14ac:dyDescent="0.25">
      <c r="A372" s="546" t="str">
        <f>A361&amp;B372</f>
        <v>不動産業企業の税引後利益（二次以降）</v>
      </c>
      <c r="B372" s="452" t="s">
        <v>345</v>
      </c>
      <c r="C372" s="465" t="s">
        <v>37</v>
      </c>
      <c r="D372" s="507">
        <f>D362*地域経済性分析・初期条件!$M$75</f>
        <v>0</v>
      </c>
      <c r="E372" s="478">
        <f>E362*地域経済性分析・初期条件!$M$75</f>
        <v>135177.49445646669</v>
      </c>
      <c r="F372" s="478">
        <f>F362*地域経済性分析・初期条件!$M$75</f>
        <v>135177.49445646669</v>
      </c>
      <c r="G372" s="478">
        <f>G362*地域経済性分析・初期条件!$M$75</f>
        <v>135177.49445646669</v>
      </c>
      <c r="H372" s="478">
        <f>H362*地域経済性分析・初期条件!$M$75</f>
        <v>135177.49445646669</v>
      </c>
      <c r="I372" s="478">
        <f>I362*地域経済性分析・初期条件!$M$75</f>
        <v>135177.49445646669</v>
      </c>
      <c r="J372" s="478">
        <f>J362*地域経済性分析・初期条件!$M$75</f>
        <v>135177.49445646669</v>
      </c>
      <c r="K372" s="478">
        <f>K362*地域経済性分析・初期条件!$M$75</f>
        <v>135177.49445646669</v>
      </c>
      <c r="L372" s="478">
        <f>L362*地域経済性分析・初期条件!$M$75</f>
        <v>135177.49445646669</v>
      </c>
      <c r="M372" s="478">
        <f>M362*地域経済性分析・初期条件!$M$75</f>
        <v>135177.49445646669</v>
      </c>
      <c r="N372" s="478">
        <f>N362*地域経済性分析・初期条件!$M$75</f>
        <v>135177.49445646669</v>
      </c>
      <c r="O372" s="478">
        <f>O362*地域経済性分析・初期条件!$M$75</f>
        <v>135177.49445646669</v>
      </c>
      <c r="P372" s="478">
        <f>P362*地域経済性分析・初期条件!$M$75</f>
        <v>135177.49445646669</v>
      </c>
      <c r="Q372" s="478">
        <f>Q362*地域経済性分析・初期条件!$M$75</f>
        <v>135177.49445646669</v>
      </c>
      <c r="R372" s="478">
        <f>R362*地域経済性分析・初期条件!$M$75</f>
        <v>135177.49445646669</v>
      </c>
      <c r="S372" s="478">
        <f>S362*地域経済性分析・初期条件!$M$75</f>
        <v>135177.49445646669</v>
      </c>
      <c r="T372" s="478">
        <f>T362*地域経済性分析・初期条件!$M$75</f>
        <v>135177.49445646669</v>
      </c>
      <c r="U372" s="478">
        <f>U362*地域経済性分析・初期条件!$M$75</f>
        <v>135177.49445646669</v>
      </c>
      <c r="V372" s="478">
        <f>V362*地域経済性分析・初期条件!$M$75</f>
        <v>135177.49445646669</v>
      </c>
      <c r="W372" s="478">
        <f>W362*地域経済性分析・初期条件!$M$75</f>
        <v>135177.49445646669</v>
      </c>
      <c r="X372" s="478">
        <f>X362*地域経済性分析・初期条件!$M$75</f>
        <v>135177.49445646669</v>
      </c>
      <c r="Y372" s="478">
        <f>Y362*地域経済性分析・初期条件!$M$75</f>
        <v>135177.49445646669</v>
      </c>
      <c r="Z372" s="478">
        <f>Z362*地域経済性分析・初期条件!$M$75</f>
        <v>135177.49445646669</v>
      </c>
      <c r="AA372" s="478">
        <f>AA362*地域経済性分析・初期条件!$M$75</f>
        <v>135177.49445646669</v>
      </c>
      <c r="AB372" s="478">
        <f>AB362*地域経済性分析・初期条件!$M$75</f>
        <v>135177.49445646669</v>
      </c>
      <c r="AC372" s="478">
        <f>AC362*地域経済性分析・初期条件!$M$75</f>
        <v>135177.49445646669</v>
      </c>
      <c r="AD372" s="478">
        <f>AD362*地域経済性分析・初期条件!$M$75</f>
        <v>135177.49445646669</v>
      </c>
      <c r="AE372" s="478">
        <f>AE362*地域経済性分析・初期条件!$M$75</f>
        <v>135177.49445646669</v>
      </c>
      <c r="AF372" s="478">
        <f>AF362*地域経済性分析・初期条件!$M$75</f>
        <v>135177.49445646669</v>
      </c>
      <c r="AG372" s="478">
        <f>AG362*地域経済性分析・初期条件!$M$75</f>
        <v>135177.49445646669</v>
      </c>
      <c r="AH372" s="478">
        <f>AH362*地域経済性分析・初期条件!$M$75</f>
        <v>135177.49445646669</v>
      </c>
      <c r="AI372" s="548">
        <f>SUM(D372:N372)</f>
        <v>1351774.9445646673</v>
      </c>
      <c r="AJ372" s="548">
        <f t="shared" si="183"/>
        <v>2703549.8891293346</v>
      </c>
      <c r="AK372" s="510">
        <f t="shared" si="184"/>
        <v>4055324.8336940021</v>
      </c>
    </row>
    <row r="373" spans="1:37" ht="11.5" x14ac:dyDescent="0.25">
      <c r="A373" s="546" t="str">
        <f>A361&amp;B373</f>
        <v>不動産業都道府県税収（二次以降）</v>
      </c>
      <c r="B373" s="452" t="s">
        <v>346</v>
      </c>
      <c r="C373" s="465" t="s">
        <v>37</v>
      </c>
      <c r="D373" s="507">
        <f>D362*地域経済性分析・初期条件!$N$75</f>
        <v>0</v>
      </c>
      <c r="E373" s="478">
        <f>E362*地域経済性分析・初期条件!$N$75</f>
        <v>33755.798783531034</v>
      </c>
      <c r="F373" s="478">
        <f>F362*地域経済性分析・初期条件!$N$75</f>
        <v>33755.798783531034</v>
      </c>
      <c r="G373" s="478">
        <f>G362*地域経済性分析・初期条件!$N$75</f>
        <v>33755.798783531034</v>
      </c>
      <c r="H373" s="478">
        <f>H362*地域経済性分析・初期条件!$N$75</f>
        <v>33755.798783531034</v>
      </c>
      <c r="I373" s="478">
        <f>I362*地域経済性分析・初期条件!$N$75</f>
        <v>33755.798783531034</v>
      </c>
      <c r="J373" s="478">
        <f>J362*地域経済性分析・初期条件!$N$75</f>
        <v>33755.798783531034</v>
      </c>
      <c r="K373" s="478">
        <f>K362*地域経済性分析・初期条件!$N$75</f>
        <v>33755.798783531034</v>
      </c>
      <c r="L373" s="478">
        <f>L362*地域経済性分析・初期条件!$N$75</f>
        <v>33755.798783531034</v>
      </c>
      <c r="M373" s="478">
        <f>M362*地域経済性分析・初期条件!$N$75</f>
        <v>33755.798783531034</v>
      </c>
      <c r="N373" s="478">
        <f>N362*地域経済性分析・初期条件!$N$75</f>
        <v>33755.798783531034</v>
      </c>
      <c r="O373" s="478">
        <f>O362*地域経済性分析・初期条件!$N$75</f>
        <v>33755.798783531034</v>
      </c>
      <c r="P373" s="478">
        <f>P362*地域経済性分析・初期条件!$N$75</f>
        <v>33755.798783531034</v>
      </c>
      <c r="Q373" s="478">
        <f>Q362*地域経済性分析・初期条件!$N$75</f>
        <v>33755.798783531034</v>
      </c>
      <c r="R373" s="478">
        <f>R362*地域経済性分析・初期条件!$N$75</f>
        <v>33755.798783531034</v>
      </c>
      <c r="S373" s="478">
        <f>S362*地域経済性分析・初期条件!$N$75</f>
        <v>33755.798783531034</v>
      </c>
      <c r="T373" s="478">
        <f>T362*地域経済性分析・初期条件!$N$75</f>
        <v>33755.798783531034</v>
      </c>
      <c r="U373" s="478">
        <f>U362*地域経済性分析・初期条件!$N$75</f>
        <v>33755.798783531034</v>
      </c>
      <c r="V373" s="478">
        <f>V362*地域経済性分析・初期条件!$N$75</f>
        <v>33755.798783531034</v>
      </c>
      <c r="W373" s="478">
        <f>W362*地域経済性分析・初期条件!$N$75</f>
        <v>33755.798783531034</v>
      </c>
      <c r="X373" s="478">
        <f>X362*地域経済性分析・初期条件!$N$75</f>
        <v>33755.798783531034</v>
      </c>
      <c r="Y373" s="478">
        <f>Y362*地域経済性分析・初期条件!$N$75</f>
        <v>33755.798783531034</v>
      </c>
      <c r="Z373" s="478">
        <f>Z362*地域経済性分析・初期条件!$N$75</f>
        <v>33755.798783531034</v>
      </c>
      <c r="AA373" s="478">
        <f>AA362*地域経済性分析・初期条件!$N$75</f>
        <v>33755.798783531034</v>
      </c>
      <c r="AB373" s="478">
        <f>AB362*地域経済性分析・初期条件!$N$75</f>
        <v>33755.798783531034</v>
      </c>
      <c r="AC373" s="478">
        <f>AC362*地域経済性分析・初期条件!$N$75</f>
        <v>33755.798783531034</v>
      </c>
      <c r="AD373" s="478">
        <f>AD362*地域経済性分析・初期条件!$N$75</f>
        <v>33755.798783531034</v>
      </c>
      <c r="AE373" s="478">
        <f>AE362*地域経済性分析・初期条件!$N$75</f>
        <v>33755.798783531034</v>
      </c>
      <c r="AF373" s="478">
        <f>AF362*地域経済性分析・初期条件!$N$75</f>
        <v>33755.798783531034</v>
      </c>
      <c r="AG373" s="478">
        <f>AG362*地域経済性分析・初期条件!$N$75</f>
        <v>33755.798783531034</v>
      </c>
      <c r="AH373" s="478">
        <f>AH362*地域経済性分析・初期条件!$N$75</f>
        <v>33755.798783531034</v>
      </c>
      <c r="AI373" s="548">
        <f>SUM(D373:N373)</f>
        <v>337557.9878353104</v>
      </c>
      <c r="AJ373" s="548">
        <f t="shared" si="183"/>
        <v>675115.97567062103</v>
      </c>
      <c r="AK373" s="510">
        <f t="shared" si="184"/>
        <v>1012673.9635059317</v>
      </c>
    </row>
    <row r="374" spans="1:37" ht="12" thickBot="1" x14ac:dyDescent="0.3">
      <c r="A374" s="682" t="str">
        <f>A361&amp;B374</f>
        <v>不動産業市町村税収（二次以降）</v>
      </c>
      <c r="B374" s="683" t="s">
        <v>347</v>
      </c>
      <c r="C374" s="684" t="s">
        <v>37</v>
      </c>
      <c r="D374" s="685">
        <f>D362*地域経済性分析・初期条件!$O$75</f>
        <v>0</v>
      </c>
      <c r="E374" s="686">
        <f>E362*地域経済性分析・初期条件!$O$75</f>
        <v>12742.703775961771</v>
      </c>
      <c r="F374" s="686">
        <f>F362*地域経済性分析・初期条件!$O$75</f>
        <v>12742.703775961771</v>
      </c>
      <c r="G374" s="686">
        <f>G362*地域経済性分析・初期条件!$O$75</f>
        <v>12742.703775961771</v>
      </c>
      <c r="H374" s="686">
        <f>H362*地域経済性分析・初期条件!$O$75</f>
        <v>12742.703775961771</v>
      </c>
      <c r="I374" s="686">
        <f>I362*地域経済性分析・初期条件!$O$75</f>
        <v>12742.703775961771</v>
      </c>
      <c r="J374" s="686">
        <f>J362*地域経済性分析・初期条件!$O$75</f>
        <v>12742.703775961771</v>
      </c>
      <c r="K374" s="686">
        <f>K362*地域経済性分析・初期条件!$O$75</f>
        <v>12742.703775961771</v>
      </c>
      <c r="L374" s="686">
        <f>L362*地域経済性分析・初期条件!$O$75</f>
        <v>12742.703775961771</v>
      </c>
      <c r="M374" s="686">
        <f>M362*地域経済性分析・初期条件!$O$75</f>
        <v>12742.703775961771</v>
      </c>
      <c r="N374" s="686">
        <f>N362*地域経済性分析・初期条件!$O$75</f>
        <v>12742.703775961771</v>
      </c>
      <c r="O374" s="686">
        <f>O362*地域経済性分析・初期条件!$O$75</f>
        <v>12742.703775961771</v>
      </c>
      <c r="P374" s="686">
        <f>P362*地域経済性分析・初期条件!$O$75</f>
        <v>12742.703775961771</v>
      </c>
      <c r="Q374" s="686">
        <f>Q362*地域経済性分析・初期条件!$O$75</f>
        <v>12742.703775961771</v>
      </c>
      <c r="R374" s="686">
        <f>R362*地域経済性分析・初期条件!$O$75</f>
        <v>12742.703775961771</v>
      </c>
      <c r="S374" s="686">
        <f>S362*地域経済性分析・初期条件!$O$75</f>
        <v>12742.703775961771</v>
      </c>
      <c r="T374" s="686">
        <f>T362*地域経済性分析・初期条件!$O$75</f>
        <v>12742.703775961771</v>
      </c>
      <c r="U374" s="686">
        <f>U362*地域経済性分析・初期条件!$O$75</f>
        <v>12742.703775961771</v>
      </c>
      <c r="V374" s="686">
        <f>V362*地域経済性分析・初期条件!$O$75</f>
        <v>12742.703775961771</v>
      </c>
      <c r="W374" s="686">
        <f>W362*地域経済性分析・初期条件!$O$75</f>
        <v>12742.703775961771</v>
      </c>
      <c r="X374" s="686">
        <f>X362*地域経済性分析・初期条件!$O$75</f>
        <v>12742.703775961771</v>
      </c>
      <c r="Y374" s="686">
        <f>Y362*地域経済性分析・初期条件!$O$75</f>
        <v>12742.703775961771</v>
      </c>
      <c r="Z374" s="686">
        <f>Z362*地域経済性分析・初期条件!$O$75</f>
        <v>12742.703775961771</v>
      </c>
      <c r="AA374" s="686">
        <f>AA362*地域経済性分析・初期条件!$O$75</f>
        <v>12742.703775961771</v>
      </c>
      <c r="AB374" s="686">
        <f>AB362*地域経済性分析・初期条件!$O$75</f>
        <v>12742.703775961771</v>
      </c>
      <c r="AC374" s="686">
        <f>AC362*地域経済性分析・初期条件!$O$75</f>
        <v>12742.703775961771</v>
      </c>
      <c r="AD374" s="686">
        <f>AD362*地域経済性分析・初期条件!$O$75</f>
        <v>12742.703775961771</v>
      </c>
      <c r="AE374" s="686">
        <f>AE362*地域経済性分析・初期条件!$O$75</f>
        <v>12742.703775961771</v>
      </c>
      <c r="AF374" s="686">
        <f>AF362*地域経済性分析・初期条件!$O$75</f>
        <v>12742.703775961771</v>
      </c>
      <c r="AG374" s="686">
        <f>AG362*地域経済性分析・初期条件!$O$75</f>
        <v>12742.703775961771</v>
      </c>
      <c r="AH374" s="686">
        <f>AH362*地域経済性分析・初期条件!$O$75</f>
        <v>12742.703775961771</v>
      </c>
      <c r="AI374" s="687">
        <f>SUM(D374:N374)</f>
        <v>127427.03775961768</v>
      </c>
      <c r="AJ374" s="687">
        <f t="shared" si="183"/>
        <v>254854.07551923537</v>
      </c>
      <c r="AK374" s="688">
        <f t="shared" si="184"/>
        <v>382281.11327885307</v>
      </c>
    </row>
    <row r="375" spans="1:37" ht="12" thickTop="1" x14ac:dyDescent="0.25">
      <c r="A375" s="1256" t="s">
        <v>1049</v>
      </c>
      <c r="B375" s="452"/>
      <c r="C375" s="465" t="s">
        <v>1050</v>
      </c>
      <c r="D375" s="507">
        <f>SUM(D339:D346,D353:D360,,D367:D374)</f>
        <v>0</v>
      </c>
      <c r="E375" s="507">
        <f t="shared" ref="E375:AH375" si="185">SUM(E339:E346,E353:E360,,E367:E374)</f>
        <v>2468216.3875406003</v>
      </c>
      <c r="F375" s="507">
        <f t="shared" si="185"/>
        <v>2468216.3875406003</v>
      </c>
      <c r="G375" s="507">
        <f t="shared" si="185"/>
        <v>2468216.3875406003</v>
      </c>
      <c r="H375" s="507">
        <f t="shared" si="185"/>
        <v>2468216.3875406003</v>
      </c>
      <c r="I375" s="507">
        <f t="shared" si="185"/>
        <v>2468216.3875406003</v>
      </c>
      <c r="J375" s="507">
        <f t="shared" si="185"/>
        <v>2468216.3875406003</v>
      </c>
      <c r="K375" s="507">
        <f t="shared" si="185"/>
        <v>2468216.3875406003</v>
      </c>
      <c r="L375" s="507">
        <f t="shared" si="185"/>
        <v>2468216.3875406003</v>
      </c>
      <c r="M375" s="507">
        <f t="shared" si="185"/>
        <v>2468216.3875406003</v>
      </c>
      <c r="N375" s="507">
        <f t="shared" si="185"/>
        <v>2468216.3875406003</v>
      </c>
      <c r="O375" s="507">
        <f t="shared" si="185"/>
        <v>2468216.3875406003</v>
      </c>
      <c r="P375" s="507">
        <f t="shared" si="185"/>
        <v>2468216.3875406003</v>
      </c>
      <c r="Q375" s="507">
        <f t="shared" si="185"/>
        <v>2468216.3875406003</v>
      </c>
      <c r="R375" s="507">
        <f t="shared" si="185"/>
        <v>2468216.3875406003</v>
      </c>
      <c r="S375" s="507">
        <f t="shared" si="185"/>
        <v>2468216.3875406003</v>
      </c>
      <c r="T375" s="507">
        <f t="shared" si="185"/>
        <v>2468216.3875406003</v>
      </c>
      <c r="U375" s="507">
        <f t="shared" si="185"/>
        <v>2468216.3875406003</v>
      </c>
      <c r="V375" s="507">
        <f t="shared" si="185"/>
        <v>2468216.3875406003</v>
      </c>
      <c r="W375" s="507">
        <f t="shared" si="185"/>
        <v>2468216.3875406003</v>
      </c>
      <c r="X375" s="507">
        <f t="shared" si="185"/>
        <v>2468216.3875406003</v>
      </c>
      <c r="Y375" s="507">
        <f t="shared" si="185"/>
        <v>2468216.3875406003</v>
      </c>
      <c r="Z375" s="507">
        <f t="shared" si="185"/>
        <v>2468216.3875406003</v>
      </c>
      <c r="AA375" s="507">
        <f t="shared" si="185"/>
        <v>2468216.3875406003</v>
      </c>
      <c r="AB375" s="507">
        <f t="shared" si="185"/>
        <v>2468216.3875406003</v>
      </c>
      <c r="AC375" s="507">
        <f t="shared" si="185"/>
        <v>2468216.3875406003</v>
      </c>
      <c r="AD375" s="507">
        <f t="shared" si="185"/>
        <v>2468216.3875406003</v>
      </c>
      <c r="AE375" s="507">
        <f t="shared" si="185"/>
        <v>2468216.3875406003</v>
      </c>
      <c r="AF375" s="507">
        <f t="shared" si="185"/>
        <v>2468216.3875406003</v>
      </c>
      <c r="AG375" s="507">
        <f t="shared" si="185"/>
        <v>2468216.3875406003</v>
      </c>
      <c r="AH375" s="507">
        <f t="shared" si="185"/>
        <v>2468216.3875406003</v>
      </c>
      <c r="AI375" s="548">
        <f>AI332-SUM(AI339:AI346,AI353:AI360,AI367:AI374)</f>
        <v>139677351.96552044</v>
      </c>
      <c r="AJ375" s="548">
        <f>AJ332-SUM(AJ339:AJ346,AJ353:AJ360,AJ367:AJ374)</f>
        <v>279354703.93104082</v>
      </c>
      <c r="AK375" s="510">
        <f>AK332-SUM(AK339:AK346,AK353:AK360,AK367:AK374)</f>
        <v>419032055.89656097</v>
      </c>
    </row>
    <row r="376" spans="1:37" ht="11.5" x14ac:dyDescent="0.25">
      <c r="A376" s="1257" t="s">
        <v>1051</v>
      </c>
      <c r="B376" s="1258"/>
      <c r="C376" s="1259" t="s">
        <v>37</v>
      </c>
      <c r="D376" s="1254">
        <f>D332*1.1-D375</f>
        <v>0</v>
      </c>
      <c r="E376" s="1254">
        <f>E332*1.1-E375</f>
        <v>15611330.354961306</v>
      </c>
      <c r="F376" s="508">
        <f t="shared" ref="F376:AH376" si="186">F332*1.1-F375</f>
        <v>15611330.354961306</v>
      </c>
      <c r="G376" s="508">
        <f t="shared" si="186"/>
        <v>15611330.354961306</v>
      </c>
      <c r="H376" s="508">
        <f t="shared" si="186"/>
        <v>15611330.354961306</v>
      </c>
      <c r="I376" s="508">
        <f t="shared" si="186"/>
        <v>15611330.354961306</v>
      </c>
      <c r="J376" s="508">
        <f t="shared" si="186"/>
        <v>15611330.354961306</v>
      </c>
      <c r="K376" s="508">
        <f t="shared" si="186"/>
        <v>15611330.354961306</v>
      </c>
      <c r="L376" s="508">
        <f t="shared" si="186"/>
        <v>15611330.354961306</v>
      </c>
      <c r="M376" s="508">
        <f t="shared" si="186"/>
        <v>15611330.354961306</v>
      </c>
      <c r="N376" s="508">
        <f t="shared" si="186"/>
        <v>15611330.354961306</v>
      </c>
      <c r="O376" s="508">
        <f t="shared" si="186"/>
        <v>15611330.354961306</v>
      </c>
      <c r="P376" s="508">
        <f t="shared" si="186"/>
        <v>15611330.354961306</v>
      </c>
      <c r="Q376" s="508">
        <f t="shared" si="186"/>
        <v>15611330.354961306</v>
      </c>
      <c r="R376" s="508">
        <f t="shared" si="186"/>
        <v>15611330.354961306</v>
      </c>
      <c r="S376" s="508">
        <f t="shared" si="186"/>
        <v>15611330.354961306</v>
      </c>
      <c r="T376" s="508">
        <f t="shared" si="186"/>
        <v>15611330.354961306</v>
      </c>
      <c r="U376" s="508">
        <f t="shared" si="186"/>
        <v>15611330.354961306</v>
      </c>
      <c r="V376" s="508">
        <f t="shared" si="186"/>
        <v>15611330.354961306</v>
      </c>
      <c r="W376" s="508">
        <f t="shared" si="186"/>
        <v>15611330.354961306</v>
      </c>
      <c r="X376" s="508">
        <f t="shared" si="186"/>
        <v>15611330.354961306</v>
      </c>
      <c r="Y376" s="508">
        <f t="shared" si="186"/>
        <v>15611330.354961306</v>
      </c>
      <c r="Z376" s="508">
        <f t="shared" si="186"/>
        <v>15611330.354961306</v>
      </c>
      <c r="AA376" s="508">
        <f t="shared" si="186"/>
        <v>15611330.354961306</v>
      </c>
      <c r="AB376" s="508">
        <f t="shared" si="186"/>
        <v>15611330.354961306</v>
      </c>
      <c r="AC376" s="508">
        <f t="shared" si="186"/>
        <v>15611330.354961306</v>
      </c>
      <c r="AD376" s="508">
        <f t="shared" si="186"/>
        <v>15611330.354961306</v>
      </c>
      <c r="AE376" s="508">
        <f t="shared" si="186"/>
        <v>15611330.354961306</v>
      </c>
      <c r="AF376" s="508">
        <f t="shared" si="186"/>
        <v>15611330.354961306</v>
      </c>
      <c r="AG376" s="508">
        <f t="shared" si="186"/>
        <v>15611330.354961306</v>
      </c>
      <c r="AH376" s="508">
        <f t="shared" si="186"/>
        <v>15611330.354961306</v>
      </c>
      <c r="AI376" s="550">
        <f>AI333-SUM(AI340:AI347,AI354:AI361,AI368:AI374)</f>
        <v>-18050317.646608382</v>
      </c>
      <c r="AJ376" s="550">
        <f>AJ333-SUM(AJ340:AJ347,AJ354:AJ361,AJ368:AJ374)</f>
        <v>-36100635.293216765</v>
      </c>
      <c r="AK376" s="551">
        <f>AK333-SUM(AK340:AK347,AK354:AK361,AK368:AK374)</f>
        <v>-54150952.939825162</v>
      </c>
    </row>
    <row r="377" spans="1:37" ht="11.5" x14ac:dyDescent="0.25">
      <c r="A377" s="452" t="s">
        <v>209</v>
      </c>
      <c r="B377" s="426"/>
      <c r="C377" s="465"/>
      <c r="D377" s="507"/>
      <c r="E377" s="507"/>
      <c r="F377" s="507"/>
      <c r="G377" s="507"/>
      <c r="H377" s="507"/>
      <c r="I377" s="507"/>
      <c r="J377" s="507"/>
      <c r="K377" s="507"/>
      <c r="L377" s="507"/>
      <c r="M377" s="507"/>
      <c r="N377" s="507"/>
      <c r="O377" s="507"/>
      <c r="P377" s="507"/>
      <c r="Q377" s="507"/>
      <c r="R377" s="507"/>
      <c r="S377" s="507"/>
      <c r="T377" s="507"/>
      <c r="U377" s="507"/>
      <c r="V377" s="507"/>
      <c r="W377" s="507"/>
      <c r="X377" s="507"/>
      <c r="Y377" s="507"/>
      <c r="Z377" s="507"/>
      <c r="AA377" s="507"/>
      <c r="AB377" s="507"/>
      <c r="AC377" s="507"/>
      <c r="AD377" s="507"/>
      <c r="AE377" s="507"/>
      <c r="AF377" s="507"/>
      <c r="AG377" s="507"/>
      <c r="AH377" s="507"/>
      <c r="AI377" s="548"/>
      <c r="AJ377" s="548"/>
      <c r="AK377" s="510"/>
    </row>
    <row r="378" spans="1:37" ht="11.5" x14ac:dyDescent="0.25">
      <c r="A378" s="452" t="s">
        <v>210</v>
      </c>
      <c r="B378" s="426"/>
      <c r="C378" s="464" t="s">
        <v>37</v>
      </c>
      <c r="D378" s="507"/>
      <c r="E378" s="507">
        <f>E39*地域経済性分析・初期条件!$F$85</f>
        <v>10000000</v>
      </c>
      <c r="F378" s="507">
        <f>F39*地域経済性分析・初期条件!$F$85</f>
        <v>9500000</v>
      </c>
      <c r="G378" s="507">
        <f>G39*地域経済性分析・初期条件!$F$85</f>
        <v>9000000</v>
      </c>
      <c r="H378" s="507">
        <f>H39*地域経済性分析・初期条件!$F$85</f>
        <v>8500000</v>
      </c>
      <c r="I378" s="507">
        <f>I39*地域経済性分析・初期条件!$F$85</f>
        <v>8000000</v>
      </c>
      <c r="J378" s="507">
        <f>J39*地域経済性分析・初期条件!$F$85</f>
        <v>7500000</v>
      </c>
      <c r="K378" s="507">
        <f>K39*地域経済性分析・初期条件!$F$85</f>
        <v>7000000</v>
      </c>
      <c r="L378" s="507">
        <f>L39*地域経済性分析・初期条件!$F$85</f>
        <v>6500000</v>
      </c>
      <c r="M378" s="507">
        <f>M39*地域経済性分析・初期条件!$F$85</f>
        <v>6000000</v>
      </c>
      <c r="N378" s="507">
        <f>N39*地域経済性分析・初期条件!$F$85</f>
        <v>5500000</v>
      </c>
      <c r="O378" s="507">
        <f>O39*地域経済性分析・初期条件!$F$85</f>
        <v>5000000</v>
      </c>
      <c r="P378" s="507">
        <f>P39*地域経済性分析・初期条件!$F$85</f>
        <v>4500000</v>
      </c>
      <c r="Q378" s="507">
        <f>Q39*地域経済性分析・初期条件!$F$85</f>
        <v>4000000</v>
      </c>
      <c r="R378" s="507">
        <f>R39*地域経済性分析・初期条件!$F$85</f>
        <v>3500000</v>
      </c>
      <c r="S378" s="507">
        <f>S39*地域経済性分析・初期条件!$F$85</f>
        <v>3000000</v>
      </c>
      <c r="T378" s="507">
        <f>T39*地域経済性分析・初期条件!$F$85</f>
        <v>2500000</v>
      </c>
      <c r="U378" s="507">
        <f>U39*地域経済性分析・初期条件!$F$85</f>
        <v>2000000</v>
      </c>
      <c r="V378" s="507">
        <f>V39*地域経済性分析・初期条件!$F$85</f>
        <v>1500000</v>
      </c>
      <c r="W378" s="507">
        <f>W39*地域経済性分析・初期条件!$F$85</f>
        <v>1000000</v>
      </c>
      <c r="X378" s="507">
        <f>X39*地域経済性分析・初期条件!$F$85</f>
        <v>500000</v>
      </c>
      <c r="Y378" s="507">
        <f>Y39*地域経済性分析・初期条件!$F$85</f>
        <v>0</v>
      </c>
      <c r="Z378" s="507">
        <f>Z39*地域経済性分析・初期条件!$F$85</f>
        <v>0</v>
      </c>
      <c r="AA378" s="507">
        <f>AA39*地域経済性分析・初期条件!$F$85</f>
        <v>0</v>
      </c>
      <c r="AB378" s="507">
        <f>AB39*地域経済性分析・初期条件!$F$85</f>
        <v>0</v>
      </c>
      <c r="AC378" s="507">
        <f>AC39*地域経済性分析・初期条件!$F$85</f>
        <v>0</v>
      </c>
      <c r="AD378" s="507">
        <f>AD39*地域経済性分析・初期条件!$F$85</f>
        <v>0</v>
      </c>
      <c r="AE378" s="507">
        <f>AE39*地域経済性分析・初期条件!$F$85</f>
        <v>0</v>
      </c>
      <c r="AF378" s="507">
        <f>AF39*地域経済性分析・初期条件!$F$85</f>
        <v>0</v>
      </c>
      <c r="AG378" s="507">
        <f>AG39*地域経済性分析・初期条件!$F$85</f>
        <v>0</v>
      </c>
      <c r="AH378" s="507">
        <f>AH39*地域経済性分析・初期条件!$F$85</f>
        <v>0</v>
      </c>
      <c r="AI378" s="548">
        <f t="shared" ref="AI378:AI391" si="187">SUM(D378:N378)</f>
        <v>77500000</v>
      </c>
      <c r="AJ378" s="548">
        <f>SUM(D378:X378)</f>
        <v>105000000</v>
      </c>
      <c r="AK378" s="510">
        <f>SUM(D378:AH378)</f>
        <v>105000000</v>
      </c>
    </row>
    <row r="379" spans="1:37" ht="11.5" x14ac:dyDescent="0.25">
      <c r="A379" s="505"/>
      <c r="B379" s="452" t="s">
        <v>277</v>
      </c>
      <c r="C379" s="464" t="s">
        <v>37</v>
      </c>
      <c r="D379" s="507"/>
      <c r="E379" s="507">
        <f>E$378*地域経済性分析・初期条件!$H$85</f>
        <v>1006725.3448714489</v>
      </c>
      <c r="F379" s="507">
        <f>F$378*地域経済性分析・初期条件!$H$85</f>
        <v>956389.07762787642</v>
      </c>
      <c r="G379" s="507">
        <f>G$378*地域経済性分析・初期条件!$H$85</f>
        <v>906052.81038430403</v>
      </c>
      <c r="H379" s="507">
        <f>H$378*地域経済性分析・初期条件!$H$85</f>
        <v>855716.54314073152</v>
      </c>
      <c r="I379" s="507">
        <f>I$378*地域経済性分析・初期条件!$H$85</f>
        <v>805380.27589715912</v>
      </c>
      <c r="J379" s="507">
        <f>J$378*地域経済性分析・初期条件!$H$85</f>
        <v>755044.00865358661</v>
      </c>
      <c r="K379" s="507">
        <f>K$378*地域経済性分析・初期条件!$H$85</f>
        <v>704707.74141001422</v>
      </c>
      <c r="L379" s="507">
        <f>L$378*地域経済性分析・初期条件!$H$85</f>
        <v>654371.47416644183</v>
      </c>
      <c r="M379" s="507">
        <f>M$378*地域経済性分析・初期条件!$H$85</f>
        <v>604035.20692286931</v>
      </c>
      <c r="N379" s="507">
        <f>N$378*地域経済性分析・初期条件!$H$85</f>
        <v>553698.93967929692</v>
      </c>
      <c r="O379" s="507">
        <f>O$378*地域経済性分析・初期条件!$H$85</f>
        <v>503362.67243572447</v>
      </c>
      <c r="P379" s="507">
        <f>P$378*地域経済性分析・初期条件!$H$85</f>
        <v>453026.40519215201</v>
      </c>
      <c r="Q379" s="507">
        <f>Q$378*地域経済性分析・初期条件!$H$85</f>
        <v>402690.13794857956</v>
      </c>
      <c r="R379" s="507">
        <f>R$378*地域経済性分析・初期条件!$H$85</f>
        <v>352353.87070500711</v>
      </c>
      <c r="S379" s="507">
        <f>S$378*地域経済性分析・初期条件!$H$85</f>
        <v>302017.60346143466</v>
      </c>
      <c r="T379" s="507">
        <f>T$378*地域経済性分析・初期条件!$H$85</f>
        <v>251681.33621786223</v>
      </c>
      <c r="U379" s="507">
        <f>U$378*地域経済性分析・初期条件!$H$85</f>
        <v>201345.06897428978</v>
      </c>
      <c r="V379" s="507">
        <f>V$378*地域経済性分析・初期条件!$H$85</f>
        <v>151008.80173071733</v>
      </c>
      <c r="W379" s="507">
        <f>W$378*地域経済性分析・初期条件!$H$85</f>
        <v>100672.53448714489</v>
      </c>
      <c r="X379" s="507">
        <f>X$378*地域経済性分析・初期条件!$H$85</f>
        <v>50336.267243572445</v>
      </c>
      <c r="Y379" s="507">
        <f>Y$378*地域経済性分析・初期条件!$H$85</f>
        <v>0</v>
      </c>
      <c r="Z379" s="507">
        <f>Z$378*地域経済性分析・初期条件!$H$85</f>
        <v>0</v>
      </c>
      <c r="AA379" s="507">
        <f>AA$378*地域経済性分析・初期条件!$H$85</f>
        <v>0</v>
      </c>
      <c r="AB379" s="507">
        <f>AB$378*地域経済性分析・初期条件!$H$85</f>
        <v>0</v>
      </c>
      <c r="AC379" s="507">
        <f>AC$378*地域経済性分析・初期条件!$H$85</f>
        <v>0</v>
      </c>
      <c r="AD379" s="507">
        <f>AD$378*地域経済性分析・初期条件!$H$85</f>
        <v>0</v>
      </c>
      <c r="AE379" s="507">
        <f>AE$378*地域経済性分析・初期条件!$H$85</f>
        <v>0</v>
      </c>
      <c r="AF379" s="507">
        <f>AF$378*地域経済性分析・初期条件!$H$85</f>
        <v>0</v>
      </c>
      <c r="AG379" s="507">
        <f>AG$378*地域経済性分析・初期条件!$H$85</f>
        <v>0</v>
      </c>
      <c r="AH379" s="507">
        <f>AH$378*地域経済性分析・初期条件!$H$85</f>
        <v>0</v>
      </c>
      <c r="AI379" s="548">
        <f t="shared" si="187"/>
        <v>7802121.4227537289</v>
      </c>
      <c r="AJ379" s="548">
        <f>SUM(D379:X379)</f>
        <v>10570616.121150212</v>
      </c>
      <c r="AK379" s="510">
        <f>SUM(D379:AH379)</f>
        <v>10570616.121150212</v>
      </c>
    </row>
    <row r="380" spans="1:37" ht="11.5" x14ac:dyDescent="0.25">
      <c r="A380" s="505"/>
      <c r="B380" s="452" t="s">
        <v>278</v>
      </c>
      <c r="C380" s="464" t="s">
        <v>247</v>
      </c>
      <c r="D380" s="507"/>
      <c r="E380" s="507">
        <f>E$378*地域経済性分析・初期条件!$I$85</f>
        <v>1492829.4292181132</v>
      </c>
      <c r="F380" s="507">
        <f>F$378*地域経済性分析・初期条件!$I$85</f>
        <v>1418187.9577572076</v>
      </c>
      <c r="G380" s="507">
        <f>G$378*地域経済性分析・初期条件!$I$85</f>
        <v>1343546.4862963019</v>
      </c>
      <c r="H380" s="507">
        <f>H$378*地域経済性分析・初期条件!$I$85</f>
        <v>1268905.0148353963</v>
      </c>
      <c r="I380" s="507">
        <f>I$378*地域経済性分析・初期条件!$I$85</f>
        <v>1194263.5433744907</v>
      </c>
      <c r="J380" s="507">
        <f>J$378*地域経済性分析・初期条件!$I$85</f>
        <v>1119622.0719135848</v>
      </c>
      <c r="K380" s="507">
        <f>K$378*地域経済性分析・初期条件!$I$85</f>
        <v>1044980.6004526792</v>
      </c>
      <c r="L380" s="507">
        <f>L$378*地域経済性分析・初期条件!$I$85</f>
        <v>970339.12899177358</v>
      </c>
      <c r="M380" s="507">
        <f>M$378*地域経済性分析・初期条件!$I$85</f>
        <v>895697.65753086796</v>
      </c>
      <c r="N380" s="507">
        <f>N$378*地域経済性分析・初期条件!$I$85</f>
        <v>821056.18606996234</v>
      </c>
      <c r="O380" s="507">
        <f>O$378*地域経済性分析・初期条件!$I$85</f>
        <v>746414.71460905659</v>
      </c>
      <c r="P380" s="507">
        <f>P$378*地域経済性分析・初期条件!$I$85</f>
        <v>671773.24314815097</v>
      </c>
      <c r="Q380" s="507">
        <f>Q$378*地域経済性分析・初期条件!$I$85</f>
        <v>597131.77168724535</v>
      </c>
      <c r="R380" s="507">
        <f>R$378*地域経済性分析・初期条件!$I$85</f>
        <v>522490.3002263396</v>
      </c>
      <c r="S380" s="507">
        <f>S$378*地域経済性分析・初期条件!$I$85</f>
        <v>447848.82876543398</v>
      </c>
      <c r="T380" s="507">
        <f>T$378*地域経済性分析・初期条件!$I$85</f>
        <v>373207.3573045283</v>
      </c>
      <c r="U380" s="507">
        <f>U$378*地域経済性分析・初期条件!$I$85</f>
        <v>298565.88584362267</v>
      </c>
      <c r="V380" s="507">
        <f>V$378*地域経済性分析・初期条件!$I$85</f>
        <v>223924.41438271699</v>
      </c>
      <c r="W380" s="507">
        <f>W$378*地域経済性分析・初期条件!$I$85</f>
        <v>149282.94292181134</v>
      </c>
      <c r="X380" s="507">
        <f>X$378*地域経済性分析・初期条件!$I$85</f>
        <v>74641.471460905668</v>
      </c>
      <c r="Y380" s="507">
        <f>Y$378*地域経済性分析・初期条件!$I$85</f>
        <v>0</v>
      </c>
      <c r="Z380" s="507">
        <f>Z$378*地域経済性分析・初期条件!$I$85</f>
        <v>0</v>
      </c>
      <c r="AA380" s="507">
        <f>AA$378*地域経済性分析・初期条件!$I$85</f>
        <v>0</v>
      </c>
      <c r="AB380" s="507">
        <f>AB$378*地域経済性分析・初期条件!$I$85</f>
        <v>0</v>
      </c>
      <c r="AC380" s="507">
        <f>AC$378*地域経済性分析・初期条件!$I$85</f>
        <v>0</v>
      </c>
      <c r="AD380" s="507">
        <f>AD$378*地域経済性分析・初期条件!$I$85</f>
        <v>0</v>
      </c>
      <c r="AE380" s="507">
        <f>AE$378*地域経済性分析・初期条件!$I$85</f>
        <v>0</v>
      </c>
      <c r="AF380" s="507">
        <f>AF$378*地域経済性分析・初期条件!$I$85</f>
        <v>0</v>
      </c>
      <c r="AG380" s="507">
        <f>AG$378*地域経済性分析・初期条件!$I$85</f>
        <v>0</v>
      </c>
      <c r="AH380" s="507">
        <f>AH$378*地域経済性分析・初期条件!$I$85</f>
        <v>0</v>
      </c>
      <c r="AI380" s="548">
        <f t="shared" si="187"/>
        <v>11569428.076440377</v>
      </c>
      <c r="AJ380" s="548">
        <f>SUM(D380:X380)</f>
        <v>15674709.006790189</v>
      </c>
      <c r="AK380" s="510">
        <f>SUM(D380:AH380)</f>
        <v>15674709.006790189</v>
      </c>
    </row>
    <row r="381" spans="1:37" ht="11.5" x14ac:dyDescent="0.25">
      <c r="A381" s="546"/>
      <c r="B381" s="452" t="s">
        <v>356</v>
      </c>
      <c r="C381" s="465" t="s">
        <v>343</v>
      </c>
      <c r="D381" s="507"/>
      <c r="E381" s="507">
        <f>E378*地域経済性分析・初期条件!$P$85</f>
        <v>0</v>
      </c>
      <c r="F381" s="507">
        <f>F378*地域経済性分析・初期条件!$P$85</f>
        <v>0</v>
      </c>
      <c r="G381" s="507">
        <f>G378*地域経済性分析・初期条件!$P$85</f>
        <v>0</v>
      </c>
      <c r="H381" s="507">
        <f>H378*地域経済性分析・初期条件!$P$85</f>
        <v>0</v>
      </c>
      <c r="I381" s="507">
        <f>I378*地域経済性分析・初期条件!$P$85</f>
        <v>0</v>
      </c>
      <c r="J381" s="507">
        <f>J378*地域経済性分析・初期条件!$P$85</f>
        <v>0</v>
      </c>
      <c r="K381" s="507">
        <f>K378*地域経済性分析・初期条件!$P$85</f>
        <v>0</v>
      </c>
      <c r="L381" s="507">
        <f>L378*地域経済性分析・初期条件!$P$85</f>
        <v>0</v>
      </c>
      <c r="M381" s="507">
        <f>M378*地域経済性分析・初期条件!$P$85</f>
        <v>0</v>
      </c>
      <c r="N381" s="507">
        <f>N378*地域経済性分析・初期条件!$P$85</f>
        <v>0</v>
      </c>
      <c r="O381" s="507">
        <f>O378*地域経済性分析・初期条件!$P$85</f>
        <v>0</v>
      </c>
      <c r="P381" s="507">
        <f>P378*地域経済性分析・初期条件!$P$85</f>
        <v>0</v>
      </c>
      <c r="Q381" s="507">
        <f>Q378*地域経済性分析・初期条件!$P$85</f>
        <v>0</v>
      </c>
      <c r="R381" s="507">
        <f>R378*地域経済性分析・初期条件!$P$85</f>
        <v>0</v>
      </c>
      <c r="S381" s="507">
        <f>S378*地域経済性分析・初期条件!$P$85</f>
        <v>0</v>
      </c>
      <c r="T381" s="507">
        <f>T378*地域経済性分析・初期条件!$P$85</f>
        <v>0</v>
      </c>
      <c r="U381" s="507">
        <f>U378*地域経済性分析・初期条件!$P$85</f>
        <v>0</v>
      </c>
      <c r="V381" s="507">
        <f>V378*地域経済性分析・初期条件!$P$85</f>
        <v>0</v>
      </c>
      <c r="W381" s="507">
        <f>W378*地域経済性分析・初期条件!$P$85</f>
        <v>0</v>
      </c>
      <c r="X381" s="507">
        <f>X378*地域経済性分析・初期条件!$P$85</f>
        <v>0</v>
      </c>
      <c r="Y381" s="507">
        <f>Y378*地域経済性分析・初期条件!$P$85</f>
        <v>0</v>
      </c>
      <c r="Z381" s="507">
        <f>Z378*地域経済性分析・初期条件!$P$85</f>
        <v>0</v>
      </c>
      <c r="AA381" s="507">
        <f>AA378*地域経済性分析・初期条件!$P$85</f>
        <v>0</v>
      </c>
      <c r="AB381" s="507">
        <f>AB378*地域経済性分析・初期条件!$P$85</f>
        <v>0</v>
      </c>
      <c r="AC381" s="507">
        <f>AC378*地域経済性分析・初期条件!$P$85</f>
        <v>0</v>
      </c>
      <c r="AD381" s="507">
        <f>AD378*地域経済性分析・初期条件!$P$85</f>
        <v>0</v>
      </c>
      <c r="AE381" s="507">
        <f>AE378*地域経済性分析・初期条件!$P$85</f>
        <v>0</v>
      </c>
      <c r="AF381" s="507">
        <f>AF378*地域経済性分析・初期条件!$P$85</f>
        <v>0</v>
      </c>
      <c r="AG381" s="507">
        <f>AG378*地域経済性分析・初期条件!$P$85</f>
        <v>0</v>
      </c>
      <c r="AH381" s="507">
        <f>AH378*地域経済性分析・初期条件!$P$85</f>
        <v>0</v>
      </c>
      <c r="AI381" s="548">
        <f t="shared" si="187"/>
        <v>0</v>
      </c>
      <c r="AJ381" s="548">
        <f>SUM(D381:X381)</f>
        <v>0</v>
      </c>
      <c r="AK381" s="510">
        <f>SUM(D381:AH381)</f>
        <v>0</v>
      </c>
    </row>
    <row r="382" spans="1:37" ht="11.5" x14ac:dyDescent="0.25">
      <c r="A382" s="546"/>
      <c r="B382" s="452" t="s">
        <v>355</v>
      </c>
      <c r="C382" s="465" t="s">
        <v>343</v>
      </c>
      <c r="D382" s="507"/>
      <c r="E382" s="507">
        <f>E378*地域経済性分析・初期条件!$Q$85</f>
        <v>0</v>
      </c>
      <c r="F382" s="507">
        <f>F378*地域経済性分析・初期条件!$Q$85</f>
        <v>0</v>
      </c>
      <c r="G382" s="507">
        <f>G378*地域経済性分析・初期条件!$Q$85</f>
        <v>0</v>
      </c>
      <c r="H382" s="507">
        <f>H378*地域経済性分析・初期条件!$Q$85</f>
        <v>0</v>
      </c>
      <c r="I382" s="507">
        <f>I378*地域経済性分析・初期条件!$Q$85</f>
        <v>0</v>
      </c>
      <c r="J382" s="507">
        <f>J378*地域経済性分析・初期条件!$Q$85</f>
        <v>0</v>
      </c>
      <c r="K382" s="507">
        <f>K378*地域経済性分析・初期条件!$Q$85</f>
        <v>0</v>
      </c>
      <c r="L382" s="507">
        <f>L378*地域経済性分析・初期条件!$Q$85</f>
        <v>0</v>
      </c>
      <c r="M382" s="507">
        <f>M378*地域経済性分析・初期条件!$Q$85</f>
        <v>0</v>
      </c>
      <c r="N382" s="507">
        <f>N378*地域経済性分析・初期条件!$Q$85</f>
        <v>0</v>
      </c>
      <c r="O382" s="507">
        <f>O378*地域経済性分析・初期条件!$Q$85</f>
        <v>0</v>
      </c>
      <c r="P382" s="507">
        <f>P378*地域経済性分析・初期条件!$Q$85</f>
        <v>0</v>
      </c>
      <c r="Q382" s="507">
        <f>Q378*地域経済性分析・初期条件!$Q$85</f>
        <v>0</v>
      </c>
      <c r="R382" s="507">
        <f>R378*地域経済性分析・初期条件!$Q$85</f>
        <v>0</v>
      </c>
      <c r="S382" s="507">
        <f>S378*地域経済性分析・初期条件!$Q$85</f>
        <v>0</v>
      </c>
      <c r="T382" s="507">
        <f>T378*地域経済性分析・初期条件!$Q$85</f>
        <v>0</v>
      </c>
      <c r="U382" s="507">
        <f>U378*地域経済性分析・初期条件!$Q$85</f>
        <v>0</v>
      </c>
      <c r="V382" s="507">
        <f>V378*地域経済性分析・初期条件!$Q$85</f>
        <v>0</v>
      </c>
      <c r="W382" s="507">
        <f>W378*地域経済性分析・初期条件!$Q$85</f>
        <v>0</v>
      </c>
      <c r="X382" s="507">
        <f>X378*地域経済性分析・初期条件!$Q$85</f>
        <v>0</v>
      </c>
      <c r="Y382" s="507">
        <f>Y378*地域経済性分析・初期条件!$Q$85</f>
        <v>0</v>
      </c>
      <c r="Z382" s="507">
        <f>Z378*地域経済性分析・初期条件!$Q$85</f>
        <v>0</v>
      </c>
      <c r="AA382" s="507">
        <f>AA378*地域経済性分析・初期条件!$Q$85</f>
        <v>0</v>
      </c>
      <c r="AB382" s="507">
        <f>AB378*地域経済性分析・初期条件!$Q$85</f>
        <v>0</v>
      </c>
      <c r="AC382" s="507">
        <f>AC378*地域経済性分析・初期条件!$Q$85</f>
        <v>0</v>
      </c>
      <c r="AD382" s="507">
        <f>AD378*地域経済性分析・初期条件!$Q$85</f>
        <v>0</v>
      </c>
      <c r="AE382" s="507">
        <f>AE378*地域経済性分析・初期条件!$Q$85</f>
        <v>0</v>
      </c>
      <c r="AF382" s="507">
        <f>AF378*地域経済性分析・初期条件!$Q$85</f>
        <v>0</v>
      </c>
      <c r="AG382" s="507">
        <f>AG378*地域経済性分析・初期条件!$Q$85</f>
        <v>0</v>
      </c>
      <c r="AH382" s="507">
        <f>AH378*地域経済性分析・初期条件!$Q$85</f>
        <v>0</v>
      </c>
      <c r="AI382" s="548">
        <f t="shared" si="187"/>
        <v>0</v>
      </c>
      <c r="AJ382" s="548">
        <f>SUM(D382:X382)</f>
        <v>0</v>
      </c>
      <c r="AK382" s="510">
        <f>SUM(D382:AH382)</f>
        <v>0</v>
      </c>
    </row>
    <row r="383" spans="1:37" ht="11.5" x14ac:dyDescent="0.25">
      <c r="A383" s="546" t="e">
        <f>#REF!&amp;B383</f>
        <v>#REF!</v>
      </c>
      <c r="B383" s="452" t="s">
        <v>341</v>
      </c>
      <c r="C383" s="464" t="s">
        <v>37</v>
      </c>
      <c r="D383" s="507"/>
      <c r="E383" s="507">
        <f>E378*地域経済性分析・初期条件!$J$85</f>
        <v>285551.8845328571</v>
      </c>
      <c r="F383" s="507">
        <f>F378*地域経済性分析・初期条件!$J$85</f>
        <v>271274.29030621424</v>
      </c>
      <c r="G383" s="507">
        <f>G378*地域経済性分析・初期条件!$J$85</f>
        <v>256996.69607957138</v>
      </c>
      <c r="H383" s="507">
        <f>H378*地域経済性分析・初期条件!$J$85</f>
        <v>242719.10185292852</v>
      </c>
      <c r="I383" s="507">
        <f>I378*地域経済性分析・初期条件!$J$85</f>
        <v>228441.50762628569</v>
      </c>
      <c r="J383" s="507">
        <f>J378*地域経済性分析・初期条件!$J$85</f>
        <v>214163.91339964283</v>
      </c>
      <c r="K383" s="507">
        <f>K378*地域経済性分析・初期条件!$J$85</f>
        <v>199886.31917299997</v>
      </c>
      <c r="L383" s="507">
        <f>L378*地域経済性分析・初期条件!$J$85</f>
        <v>185608.72494635711</v>
      </c>
      <c r="M383" s="507">
        <f>M378*地域経済性分析・初期条件!$J$85</f>
        <v>171331.13071971425</v>
      </c>
      <c r="N383" s="507">
        <f>N378*地域経済性分析・初期条件!$J$85</f>
        <v>157053.53649307141</v>
      </c>
      <c r="O383" s="507">
        <f>O378*地域経済性分析・初期条件!$J$85</f>
        <v>142775.94226642855</v>
      </c>
      <c r="P383" s="507">
        <f>P378*地域経済性分析・初期条件!$J$85</f>
        <v>128498.34803978569</v>
      </c>
      <c r="Q383" s="507">
        <f>Q378*地域経済性分析・初期条件!$J$85</f>
        <v>114220.75381314284</v>
      </c>
      <c r="R383" s="507">
        <f>R378*地域経済性分析・初期条件!$J$85</f>
        <v>99943.159586499984</v>
      </c>
      <c r="S383" s="507">
        <f>S378*地域経済性分析・初期条件!$J$85</f>
        <v>85665.565359857123</v>
      </c>
      <c r="T383" s="507">
        <f>T378*地域経済性分析・初期条件!$J$85</f>
        <v>71387.971133214276</v>
      </c>
      <c r="U383" s="507">
        <f>U378*地域経済性分析・初期条件!$J$85</f>
        <v>57110.376906571422</v>
      </c>
      <c r="V383" s="507">
        <f>V378*地域経済性分析・初期条件!$J$85</f>
        <v>42832.782679928561</v>
      </c>
      <c r="W383" s="507">
        <f>W378*地域経済性分析・初期条件!$J$85</f>
        <v>28555.188453285711</v>
      </c>
      <c r="X383" s="507">
        <f>X378*地域経済性分析・初期条件!$J$85</f>
        <v>14277.594226642856</v>
      </c>
      <c r="Y383" s="507">
        <f>Y378*地域経済性分析・初期条件!$J$85</f>
        <v>0</v>
      </c>
      <c r="Z383" s="507">
        <f>Z378*地域経済性分析・初期条件!$J$85</f>
        <v>0</v>
      </c>
      <c r="AA383" s="507">
        <f>AA378*地域経済性分析・初期条件!$J$85</f>
        <v>0</v>
      </c>
      <c r="AB383" s="507">
        <f>AB378*地域経済性分析・初期条件!$J$85</f>
        <v>0</v>
      </c>
      <c r="AC383" s="507">
        <f>AC378*地域経済性分析・初期条件!$J$85</f>
        <v>0</v>
      </c>
      <c r="AD383" s="507">
        <f>AD378*地域経済性分析・初期条件!$J$85</f>
        <v>0</v>
      </c>
      <c r="AE383" s="507">
        <f>AE378*地域経済性分析・初期条件!$J$85</f>
        <v>0</v>
      </c>
      <c r="AF383" s="507">
        <f>AF378*地域経済性分析・初期条件!$J$85</f>
        <v>0</v>
      </c>
      <c r="AG383" s="507">
        <f>AG378*地域経済性分析・初期条件!$J$85</f>
        <v>0</v>
      </c>
      <c r="AH383" s="507">
        <f>AH378*地域経済性分析・初期条件!$J$85</f>
        <v>0</v>
      </c>
      <c r="AI383" s="548">
        <f t="shared" si="187"/>
        <v>2213027.1051296429</v>
      </c>
      <c r="AJ383" s="548">
        <f t="shared" ref="AJ383:AJ388" si="188">SUM(D383:X383)</f>
        <v>2998294.7875949997</v>
      </c>
      <c r="AK383" s="510">
        <f t="shared" ref="AK383:AK388" si="189">SUM(D383:AH383)</f>
        <v>2998294.7875949997</v>
      </c>
    </row>
    <row r="384" spans="1:37" ht="11.5" x14ac:dyDescent="0.25">
      <c r="A384" s="546" t="e">
        <f>#REF!&amp;B384</f>
        <v>#REF!</v>
      </c>
      <c r="B384" s="452" t="s">
        <v>342</v>
      </c>
      <c r="C384" s="465" t="s">
        <v>37</v>
      </c>
      <c r="D384" s="507"/>
      <c r="E384" s="507">
        <f>E378*地域経済性分析・初期条件!$K$85</f>
        <v>82229.884774487684</v>
      </c>
      <c r="F384" s="507">
        <f>F378*地域経済性分析・初期条件!$K$85</f>
        <v>78118.390535763305</v>
      </c>
      <c r="G384" s="507">
        <f>G378*地域経済性分析・初期条件!$K$85</f>
        <v>74006.896297038911</v>
      </c>
      <c r="H384" s="507">
        <f>H378*地域経済性分析・初期条件!$K$85</f>
        <v>69895.402058314532</v>
      </c>
      <c r="I384" s="507">
        <f>I378*地域経済性分析・初期条件!$K$85</f>
        <v>65783.907819590153</v>
      </c>
      <c r="J384" s="507">
        <f>J378*地域経済性分析・初期条件!$K$85</f>
        <v>61672.413580865767</v>
      </c>
      <c r="K384" s="507">
        <f>K378*地域経済性分析・初期条件!$K$85</f>
        <v>57560.91934214138</v>
      </c>
      <c r="L384" s="507">
        <f>L378*地域経済性分析・初期条件!$K$85</f>
        <v>53449.425103416994</v>
      </c>
      <c r="M384" s="507">
        <f>M378*地域経済性分析・初期条件!$K$85</f>
        <v>49337.930864692615</v>
      </c>
      <c r="N384" s="507">
        <f>N378*地域経済性分析・初期条件!$K$85</f>
        <v>45226.436625968228</v>
      </c>
      <c r="O384" s="507">
        <f>O378*地域経済性分析・初期条件!$K$85</f>
        <v>41114.942387243842</v>
      </c>
      <c r="P384" s="507">
        <f>P378*地域経済性分析・初期条件!$K$85</f>
        <v>37003.448148519456</v>
      </c>
      <c r="Q384" s="507">
        <f>Q378*地域経済性分析・初期条件!$K$85</f>
        <v>32891.953909795076</v>
      </c>
      <c r="R384" s="507">
        <f>R378*地域経済性分析・初期条件!$K$85</f>
        <v>28780.45967107069</v>
      </c>
      <c r="S384" s="507">
        <f>S378*地域経済性分析・初期条件!$K$85</f>
        <v>24668.965432346307</v>
      </c>
      <c r="T384" s="507">
        <f>T378*地域経済性分析・初期条件!$K$85</f>
        <v>20557.471193621921</v>
      </c>
      <c r="U384" s="507">
        <f>U378*地域経済性分析・初期条件!$K$85</f>
        <v>16445.976954897538</v>
      </c>
      <c r="V384" s="507">
        <f>V378*地域経済性分析・初期条件!$K$85</f>
        <v>12334.482716173154</v>
      </c>
      <c r="W384" s="507">
        <f>W378*地域経済性分析・初期条件!$K$85</f>
        <v>8222.9884774487691</v>
      </c>
      <c r="X384" s="507">
        <f>X378*地域経済性分析・初期条件!$K$85</f>
        <v>4111.4942387243846</v>
      </c>
      <c r="Y384" s="507">
        <f>Y378*地域経済性分析・初期条件!$K$85</f>
        <v>0</v>
      </c>
      <c r="Z384" s="507">
        <f>Z378*地域経済性分析・初期条件!$K$85</f>
        <v>0</v>
      </c>
      <c r="AA384" s="507">
        <f>AA378*地域経済性分析・初期条件!$K$85</f>
        <v>0</v>
      </c>
      <c r="AB384" s="507">
        <f>AB378*地域経済性分析・初期条件!$K$85</f>
        <v>0</v>
      </c>
      <c r="AC384" s="507">
        <f>AC378*地域経済性分析・初期条件!$K$85</f>
        <v>0</v>
      </c>
      <c r="AD384" s="507">
        <f>AD378*地域経済性分析・初期条件!$K$85</f>
        <v>0</v>
      </c>
      <c r="AE384" s="507">
        <f>AE378*地域経済性分析・初期条件!$K$85</f>
        <v>0</v>
      </c>
      <c r="AF384" s="507">
        <f>AF378*地域経済性分析・初期条件!$K$85</f>
        <v>0</v>
      </c>
      <c r="AG384" s="507">
        <f>AG378*地域経済性分析・初期条件!$K$85</f>
        <v>0</v>
      </c>
      <c r="AH384" s="507">
        <f>AH378*地域経済性分析・初期条件!$K$85</f>
        <v>0</v>
      </c>
      <c r="AI384" s="548">
        <f t="shared" si="187"/>
        <v>637281.6070022796</v>
      </c>
      <c r="AJ384" s="548">
        <f t="shared" si="188"/>
        <v>863413.79013212072</v>
      </c>
      <c r="AK384" s="510">
        <f t="shared" si="189"/>
        <v>863413.79013212072</v>
      </c>
    </row>
    <row r="385" spans="1:37" ht="11.5" x14ac:dyDescent="0.25">
      <c r="A385" s="546"/>
      <c r="B385" s="452" t="s">
        <v>344</v>
      </c>
      <c r="C385" s="465" t="s">
        <v>343</v>
      </c>
      <c r="D385" s="507"/>
      <c r="E385" s="507">
        <f>E378*地域経済性分析・初期条件!$L$85</f>
        <v>418393.75741372816</v>
      </c>
      <c r="F385" s="507">
        <f>F378*地域経済性分析・初期条件!$L$85</f>
        <v>397474.06954304175</v>
      </c>
      <c r="G385" s="507">
        <f>G378*地域経済性分析・初期条件!$L$85</f>
        <v>376554.38167235535</v>
      </c>
      <c r="H385" s="507">
        <f>H378*地域経済性分析・初期条件!$L$85</f>
        <v>355634.69380166894</v>
      </c>
      <c r="I385" s="507">
        <f>I378*地域経済性分析・初期条件!$L$85</f>
        <v>334715.00593098253</v>
      </c>
      <c r="J385" s="507">
        <f>J378*地域経済性分析・初期条件!$L$85</f>
        <v>313795.31806029612</v>
      </c>
      <c r="K385" s="507">
        <f>K378*地域経済性分析・初期条件!$L$85</f>
        <v>292875.63018960971</v>
      </c>
      <c r="L385" s="507">
        <f>L378*地域経済性分析・初期条件!$L$85</f>
        <v>271955.94231892331</v>
      </c>
      <c r="M385" s="507">
        <f>M378*地域経済性分析・初期条件!$L$85</f>
        <v>251036.2544482369</v>
      </c>
      <c r="N385" s="507">
        <f>N378*地域経済性分析・初期条件!$L$85</f>
        <v>230116.56657755049</v>
      </c>
      <c r="O385" s="507">
        <f>O378*地域経済性分析・初期条件!$L$85</f>
        <v>209196.87870686408</v>
      </c>
      <c r="P385" s="507">
        <f>P378*地域経済性分析・初期条件!$L$85</f>
        <v>188277.19083617767</v>
      </c>
      <c r="Q385" s="507">
        <f>Q378*地域経済性分析・初期条件!$L$85</f>
        <v>167357.50296549127</v>
      </c>
      <c r="R385" s="507">
        <f>R378*地域経済性分析・初期条件!$L$85</f>
        <v>146437.81509480486</v>
      </c>
      <c r="S385" s="507">
        <f>S378*地域経済性分析・初期条件!$L$85</f>
        <v>125518.12722411845</v>
      </c>
      <c r="T385" s="507">
        <f>T378*地域経済性分析・初期条件!$L$85</f>
        <v>104598.43935343204</v>
      </c>
      <c r="U385" s="507">
        <f>U378*地域経済性分析・初期条件!$L$85</f>
        <v>83678.751482745633</v>
      </c>
      <c r="V385" s="507">
        <f>V378*地域経済性分析・初期条件!$L$85</f>
        <v>62759.063612059224</v>
      </c>
      <c r="W385" s="507">
        <f>W378*地域経済性分析・初期条件!$L$85</f>
        <v>41839.375741372816</v>
      </c>
      <c r="X385" s="507">
        <f>X378*地域経済性分析・初期条件!$L$85</f>
        <v>20919.687870686408</v>
      </c>
      <c r="Y385" s="507">
        <f>Y378*地域経済性分析・初期条件!$L$85</f>
        <v>0</v>
      </c>
      <c r="Z385" s="507">
        <f>Z378*地域経済性分析・初期条件!$L$85</f>
        <v>0</v>
      </c>
      <c r="AA385" s="507">
        <f>AA378*地域経済性分析・初期条件!$L$85</f>
        <v>0</v>
      </c>
      <c r="AB385" s="507">
        <f>AB378*地域経済性分析・初期条件!$L$85</f>
        <v>0</v>
      </c>
      <c r="AC385" s="507">
        <f>AC378*地域経済性分析・初期条件!$L$85</f>
        <v>0</v>
      </c>
      <c r="AD385" s="507">
        <f>AD378*地域経済性分析・初期条件!$L$85</f>
        <v>0</v>
      </c>
      <c r="AE385" s="507">
        <f>AE378*地域経済性分析・初期条件!$L$85</f>
        <v>0</v>
      </c>
      <c r="AF385" s="507">
        <f>AF378*地域経済性分析・初期条件!$L$85</f>
        <v>0</v>
      </c>
      <c r="AG385" s="507">
        <f>AG378*地域経済性分析・初期条件!$L$85</f>
        <v>0</v>
      </c>
      <c r="AH385" s="507">
        <f>AH378*地域経済性分析・初期条件!$L$85</f>
        <v>0</v>
      </c>
      <c r="AI385" s="548">
        <f t="shared" si="187"/>
        <v>3242551.6199563933</v>
      </c>
      <c r="AJ385" s="548">
        <f t="shared" si="188"/>
        <v>4393134.4528441448</v>
      </c>
      <c r="AK385" s="510">
        <f t="shared" si="189"/>
        <v>4393134.4528441448</v>
      </c>
    </row>
    <row r="386" spans="1:37" ht="11.5" x14ac:dyDescent="0.25">
      <c r="A386" s="546"/>
      <c r="B386" s="452" t="s">
        <v>345</v>
      </c>
      <c r="C386" s="465" t="s">
        <v>343</v>
      </c>
      <c r="D386" s="507"/>
      <c r="E386" s="507">
        <f>E378*地域経済性分析・初期条件!$M$85</f>
        <v>492879.93801380845</v>
      </c>
      <c r="F386" s="507">
        <f>F378*地域経済性分析・初期条件!$M$85</f>
        <v>468235.94111311802</v>
      </c>
      <c r="G386" s="507">
        <f>G378*地域経済性分析・初期条件!$M$85</f>
        <v>443591.9442124276</v>
      </c>
      <c r="H386" s="507">
        <f>H378*地域経済性分析・初期条件!$M$85</f>
        <v>418947.94731173717</v>
      </c>
      <c r="I386" s="507">
        <f>I378*地域経済性分析・初期条件!$M$85</f>
        <v>394303.95041104674</v>
      </c>
      <c r="J386" s="507">
        <f>J378*地域経済性分析・初期条件!$M$85</f>
        <v>369659.95351035637</v>
      </c>
      <c r="K386" s="507">
        <f>K378*地域経済性分析・初期条件!$M$85</f>
        <v>345015.95660966594</v>
      </c>
      <c r="L386" s="507">
        <f>L378*地域経済性分析・初期条件!$M$85</f>
        <v>320371.95970897551</v>
      </c>
      <c r="M386" s="507">
        <f>M378*地域経済性分析・初期条件!$M$85</f>
        <v>295727.96280828508</v>
      </c>
      <c r="N386" s="507">
        <f>N378*地域経済性分析・初期条件!$M$85</f>
        <v>271083.96590759465</v>
      </c>
      <c r="O386" s="507">
        <f>O378*地域経済性分析・初期条件!$M$85</f>
        <v>246439.96900690423</v>
      </c>
      <c r="P386" s="507">
        <f>P378*地域経済性分析・初期条件!$M$85</f>
        <v>221795.9721062138</v>
      </c>
      <c r="Q386" s="507">
        <f>Q378*地域経済性分析・初期条件!$M$85</f>
        <v>197151.97520552337</v>
      </c>
      <c r="R386" s="507">
        <f>R378*地域経済性分析・初期条件!$M$85</f>
        <v>172507.97830483297</v>
      </c>
      <c r="S386" s="507">
        <f>S378*地域経済性分析・初期条件!$M$85</f>
        <v>147863.98140414254</v>
      </c>
      <c r="T386" s="507">
        <f>T378*地域経済性分析・初期条件!$M$85</f>
        <v>123219.98450345211</v>
      </c>
      <c r="U386" s="507">
        <f>U378*地域経済性分析・初期条件!$M$85</f>
        <v>98575.987602761685</v>
      </c>
      <c r="V386" s="507">
        <f>V378*地域経済性分析・初期条件!$M$85</f>
        <v>73931.990702071271</v>
      </c>
      <c r="W386" s="507">
        <f>W378*地域経済性分析・初期条件!$M$85</f>
        <v>49287.993801380842</v>
      </c>
      <c r="X386" s="507">
        <f>X378*地域経済性分析・初期条件!$M$85</f>
        <v>24643.996900690421</v>
      </c>
      <c r="Y386" s="507">
        <f>Y378*地域経済性分析・初期条件!$M$85</f>
        <v>0</v>
      </c>
      <c r="Z386" s="507">
        <f>Z378*地域経済性分析・初期条件!$M$85</f>
        <v>0</v>
      </c>
      <c r="AA386" s="507">
        <f>AA378*地域経済性分析・初期条件!$M$85</f>
        <v>0</v>
      </c>
      <c r="AB386" s="507">
        <f>AB378*地域経済性分析・初期条件!$M$85</f>
        <v>0</v>
      </c>
      <c r="AC386" s="507">
        <f>AC378*地域経済性分析・初期条件!$M$85</f>
        <v>0</v>
      </c>
      <c r="AD386" s="507">
        <f>AD378*地域経済性分析・初期条件!$M$85</f>
        <v>0</v>
      </c>
      <c r="AE386" s="507">
        <f>AE378*地域経済性分析・初期条件!$M$85</f>
        <v>0</v>
      </c>
      <c r="AF386" s="507">
        <f>AF378*地域経済性分析・初期条件!$M$85</f>
        <v>0</v>
      </c>
      <c r="AG386" s="507">
        <f>AG378*地域経済性分析・初期条件!$M$85</f>
        <v>0</v>
      </c>
      <c r="AH386" s="507">
        <f>AH378*地域経済性分析・初期条件!$M$85</f>
        <v>0</v>
      </c>
      <c r="AI386" s="548">
        <f t="shared" si="187"/>
        <v>3819819.519607015</v>
      </c>
      <c r="AJ386" s="548">
        <f t="shared" si="188"/>
        <v>5175239.3491449878</v>
      </c>
      <c r="AK386" s="510">
        <f t="shared" si="189"/>
        <v>5175239.3491449878</v>
      </c>
    </row>
    <row r="387" spans="1:37" ht="11.5" x14ac:dyDescent="0.25">
      <c r="A387" s="546"/>
      <c r="B387" s="452" t="s">
        <v>346</v>
      </c>
      <c r="C387" s="465" t="s">
        <v>343</v>
      </c>
      <c r="D387" s="507"/>
      <c r="E387" s="507">
        <f>E378*地域経済性分析・初期条件!$N$85</f>
        <v>101837.82788526034</v>
      </c>
      <c r="F387" s="507">
        <f>F378*地域経済性分析・初期条件!$N$85</f>
        <v>96745.936490997323</v>
      </c>
      <c r="G387" s="507">
        <f>G378*地域経済性分析・初期条件!$N$85</f>
        <v>91654.045096734306</v>
      </c>
      <c r="H387" s="507">
        <f>H378*地域経済性分析・初期条件!$N$85</f>
        <v>86562.153702471289</v>
      </c>
      <c r="I387" s="507">
        <f>I378*地域経済性分析・初期条件!$N$85</f>
        <v>81470.262308208272</v>
      </c>
      <c r="J387" s="507">
        <f>J378*地域経済性分析・初期条件!$N$85</f>
        <v>76378.370913945255</v>
      </c>
      <c r="K387" s="507">
        <f>K378*地域経済性分析・初期条件!$N$85</f>
        <v>71286.479519682238</v>
      </c>
      <c r="L387" s="507">
        <f>L378*地域経済性分析・初期条件!$N$85</f>
        <v>66194.588125419221</v>
      </c>
      <c r="M387" s="507">
        <f>M378*地域経済性分析・初期条件!$N$85</f>
        <v>61102.696731156197</v>
      </c>
      <c r="N387" s="507">
        <f>N378*地域経済性分析・初期条件!$N$85</f>
        <v>56010.80533689318</v>
      </c>
      <c r="O387" s="507">
        <f>O378*地域経済性分析・初期条件!$N$85</f>
        <v>50918.91394263017</v>
      </c>
      <c r="P387" s="507">
        <f>P378*地域経済性分析・初期条件!$N$85</f>
        <v>45827.022548367153</v>
      </c>
      <c r="Q387" s="507">
        <f>Q378*地域経済性分析・初期条件!$N$85</f>
        <v>40735.131154104136</v>
      </c>
      <c r="R387" s="507">
        <f>R378*地域経済性分析・初期条件!$N$85</f>
        <v>35643.239759841119</v>
      </c>
      <c r="S387" s="507">
        <f>S378*地域経済性分析・初期条件!$N$85</f>
        <v>30551.348365578098</v>
      </c>
      <c r="T387" s="507">
        <f>T378*地域経済性分析・初期条件!$N$85</f>
        <v>25459.456971315085</v>
      </c>
      <c r="U387" s="507">
        <f>U378*地域経済性分析・初期条件!$N$85</f>
        <v>20367.565577052068</v>
      </c>
      <c r="V387" s="507">
        <f>V378*地域経済性分析・初期条件!$N$85</f>
        <v>15275.674182789049</v>
      </c>
      <c r="W387" s="507">
        <f>W378*地域経済性分析・初期条件!$N$85</f>
        <v>10183.782788526034</v>
      </c>
      <c r="X387" s="507">
        <f>X378*地域経済性分析・初期条件!$N$85</f>
        <v>5091.891394263017</v>
      </c>
      <c r="Y387" s="507">
        <f>Y378*地域経済性分析・初期条件!$N$85</f>
        <v>0</v>
      </c>
      <c r="Z387" s="507">
        <f>Z378*地域経済性分析・初期条件!$N$85</f>
        <v>0</v>
      </c>
      <c r="AA387" s="507">
        <f>AA378*地域経済性分析・初期条件!$N$85</f>
        <v>0</v>
      </c>
      <c r="AB387" s="507">
        <f>AB378*地域経済性分析・初期条件!$N$85</f>
        <v>0</v>
      </c>
      <c r="AC387" s="507">
        <f>AC378*地域経済性分析・初期条件!$N$85</f>
        <v>0</v>
      </c>
      <c r="AD387" s="507">
        <f>AD378*地域経済性分析・初期条件!$N$85</f>
        <v>0</v>
      </c>
      <c r="AE387" s="507">
        <f>AE378*地域経済性分析・初期条件!$N$85</f>
        <v>0</v>
      </c>
      <c r="AF387" s="507">
        <f>AF378*地域経済性分析・初期条件!$N$85</f>
        <v>0</v>
      </c>
      <c r="AG387" s="507">
        <f>AG378*地域経済性分析・初期条件!$N$85</f>
        <v>0</v>
      </c>
      <c r="AH387" s="507">
        <f>AH378*地域経済性分析・初期条件!$N$85</f>
        <v>0</v>
      </c>
      <c r="AI387" s="548">
        <f t="shared" si="187"/>
        <v>789243.16611076763</v>
      </c>
      <c r="AJ387" s="548">
        <f t="shared" si="188"/>
        <v>1069297.1927952333</v>
      </c>
      <c r="AK387" s="510">
        <f t="shared" si="189"/>
        <v>1069297.1927952333</v>
      </c>
    </row>
    <row r="388" spans="1:37" ht="11.5" x14ac:dyDescent="0.25">
      <c r="A388" s="693"/>
      <c r="B388" s="503" t="s">
        <v>347</v>
      </c>
      <c r="C388" s="466" t="s">
        <v>343</v>
      </c>
      <c r="D388" s="508"/>
      <c r="E388" s="508">
        <f>E378*地域経済性分析・初期条件!$O$85</f>
        <v>32218.034179981452</v>
      </c>
      <c r="F388" s="508">
        <f>F378*地域経済性分析・初期条件!$O$85</f>
        <v>30607.132470982382</v>
      </c>
      <c r="G388" s="508">
        <f>G378*地域経済性分析・初期条件!$O$85</f>
        <v>28996.230761983308</v>
      </c>
      <c r="H388" s="508">
        <f>H378*地域経済性分析・初期条件!$O$85</f>
        <v>27385.329052984234</v>
      </c>
      <c r="I388" s="508">
        <f>I378*地域経済性分析・初期条件!$O$85</f>
        <v>25774.427343985164</v>
      </c>
      <c r="J388" s="508">
        <f>J378*地域経済性分析・初期条件!$O$85</f>
        <v>24163.52563498609</v>
      </c>
      <c r="K388" s="508">
        <f>K378*地域経済性分析・初期条件!$O$85</f>
        <v>22552.623925987016</v>
      </c>
      <c r="L388" s="508">
        <f>L378*地域経済性分析・初期条件!$O$85</f>
        <v>20941.722216987946</v>
      </c>
      <c r="M388" s="508">
        <f>M378*地域経済性分析・初期条件!$O$85</f>
        <v>19330.820507988872</v>
      </c>
      <c r="N388" s="508">
        <f>N378*地域経済性分析・初期条件!$O$85</f>
        <v>17719.918798989798</v>
      </c>
      <c r="O388" s="508">
        <f>O378*地域経済性分析・初期条件!$O$85</f>
        <v>16109.017089990726</v>
      </c>
      <c r="P388" s="508">
        <f>P378*地域経済性分析・初期条件!$O$85</f>
        <v>14498.115380991654</v>
      </c>
      <c r="Q388" s="508">
        <f>Q378*地域経済性分析・初期条件!$O$85</f>
        <v>12887.213671992582</v>
      </c>
      <c r="R388" s="508">
        <f>R378*地域経済性分析・初期条件!$O$85</f>
        <v>11276.311962993508</v>
      </c>
      <c r="S388" s="508">
        <f>S378*地域経済性分析・初期条件!$O$85</f>
        <v>9665.4102539944361</v>
      </c>
      <c r="T388" s="508">
        <f>T378*地域経済性分析・初期条件!$O$85</f>
        <v>8054.5085449953631</v>
      </c>
      <c r="U388" s="508">
        <f>U378*地域経済性分析・初期条件!$O$85</f>
        <v>6443.606835996291</v>
      </c>
      <c r="V388" s="508">
        <f>V378*地域経済性分析・初期条件!$O$85</f>
        <v>4832.705126997218</v>
      </c>
      <c r="W388" s="508">
        <f>W378*地域経済性分析・初期条件!$O$85</f>
        <v>3221.8034179981455</v>
      </c>
      <c r="X388" s="508">
        <f>X378*地域経済性分析・初期条件!$O$85</f>
        <v>1610.9017089990728</v>
      </c>
      <c r="Y388" s="508">
        <f>Y378*地域経済性分析・初期条件!$O$85</f>
        <v>0</v>
      </c>
      <c r="Z388" s="508">
        <f>Z378*地域経済性分析・初期条件!$O$85</f>
        <v>0</v>
      </c>
      <c r="AA388" s="508">
        <f>AA378*地域経済性分析・初期条件!$O$85</f>
        <v>0</v>
      </c>
      <c r="AB388" s="508">
        <f>AB378*地域経済性分析・初期条件!$O$85</f>
        <v>0</v>
      </c>
      <c r="AC388" s="508">
        <f>AC378*地域経済性分析・初期条件!$O$85</f>
        <v>0</v>
      </c>
      <c r="AD388" s="508">
        <f>AD378*地域経済性分析・初期条件!$O$85</f>
        <v>0</v>
      </c>
      <c r="AE388" s="508">
        <f>AE378*地域経済性分析・初期条件!$O$85</f>
        <v>0</v>
      </c>
      <c r="AF388" s="508">
        <f>AF378*地域経済性分析・初期条件!$O$85</f>
        <v>0</v>
      </c>
      <c r="AG388" s="508">
        <f>AG378*地域経済性分析・初期条件!$O$85</f>
        <v>0</v>
      </c>
      <c r="AH388" s="508">
        <f>AH378*地域経済性分析・初期条件!$O$85</f>
        <v>0</v>
      </c>
      <c r="AI388" s="550">
        <f t="shared" si="187"/>
        <v>249689.76489485626</v>
      </c>
      <c r="AJ388" s="550">
        <f t="shared" si="188"/>
        <v>338289.35888980527</v>
      </c>
      <c r="AK388" s="551">
        <f t="shared" si="189"/>
        <v>338289.35888980527</v>
      </c>
    </row>
    <row r="389" spans="1:37" ht="11.5" x14ac:dyDescent="0.25">
      <c r="A389" s="1256" t="s">
        <v>1049</v>
      </c>
      <c r="B389" s="452"/>
      <c r="C389" s="465" t="s">
        <v>1050</v>
      </c>
      <c r="D389" s="507">
        <f>SUM(D379:D380,D383:D388)</f>
        <v>0</v>
      </c>
      <c r="E389" s="507">
        <f>SUM(E379:E380,E383:E388)</f>
        <v>3912666.1008896851</v>
      </c>
      <c r="F389" s="507">
        <f t="shared" ref="F389:AH389" si="190">SUM(F379:F380,F383:F388)</f>
        <v>3717032.7958452012</v>
      </c>
      <c r="G389" s="507">
        <f t="shared" si="190"/>
        <v>3521399.4908007169</v>
      </c>
      <c r="H389" s="507">
        <f t="shared" si="190"/>
        <v>3325766.1857562321</v>
      </c>
      <c r="I389" s="507">
        <f t="shared" si="190"/>
        <v>3130132.8807117483</v>
      </c>
      <c r="J389" s="507">
        <f t="shared" si="190"/>
        <v>2934499.5756672635</v>
      </c>
      <c r="K389" s="507">
        <f t="shared" si="190"/>
        <v>2738866.2706227801</v>
      </c>
      <c r="L389" s="507">
        <f t="shared" si="190"/>
        <v>2543232.9655782958</v>
      </c>
      <c r="M389" s="507">
        <f t="shared" si="190"/>
        <v>2347599.660533811</v>
      </c>
      <c r="N389" s="507">
        <f t="shared" si="190"/>
        <v>2151966.3554893266</v>
      </c>
      <c r="O389" s="507">
        <f t="shared" si="190"/>
        <v>1956333.0504448425</v>
      </c>
      <c r="P389" s="507">
        <f t="shared" si="190"/>
        <v>1760699.7454003585</v>
      </c>
      <c r="Q389" s="507">
        <f t="shared" si="190"/>
        <v>1565066.4403558741</v>
      </c>
      <c r="R389" s="507">
        <f t="shared" si="190"/>
        <v>1369433.13531139</v>
      </c>
      <c r="S389" s="507">
        <f t="shared" si="190"/>
        <v>1173799.8302669055</v>
      </c>
      <c r="T389" s="507">
        <f t="shared" si="190"/>
        <v>978166.52522242127</v>
      </c>
      <c r="U389" s="507">
        <f t="shared" si="190"/>
        <v>782533.22017793707</v>
      </c>
      <c r="V389" s="507">
        <f t="shared" si="190"/>
        <v>586899.91513345274</v>
      </c>
      <c r="W389" s="507">
        <f t="shared" si="190"/>
        <v>391266.61008896853</v>
      </c>
      <c r="X389" s="507">
        <f t="shared" si="190"/>
        <v>195633.30504448427</v>
      </c>
      <c r="Y389" s="507">
        <f t="shared" si="190"/>
        <v>0</v>
      </c>
      <c r="Z389" s="507">
        <f t="shared" si="190"/>
        <v>0</v>
      </c>
      <c r="AA389" s="507">
        <f t="shared" si="190"/>
        <v>0</v>
      </c>
      <c r="AB389" s="507">
        <f t="shared" si="190"/>
        <v>0</v>
      </c>
      <c r="AC389" s="507">
        <f t="shared" si="190"/>
        <v>0</v>
      </c>
      <c r="AD389" s="507">
        <f t="shared" si="190"/>
        <v>0</v>
      </c>
      <c r="AE389" s="507">
        <f t="shared" si="190"/>
        <v>0</v>
      </c>
      <c r="AF389" s="507">
        <f t="shared" si="190"/>
        <v>0</v>
      </c>
      <c r="AG389" s="507">
        <f t="shared" si="190"/>
        <v>0</v>
      </c>
      <c r="AH389" s="507">
        <f t="shared" si="190"/>
        <v>0</v>
      </c>
      <c r="AI389" s="548">
        <f t="shared" ref="AI389:AK389" si="191">SUM(AI355:AI362,AI369:AI376,,AI381:AI388)</f>
        <v>167781438.52276129</v>
      </c>
      <c r="AJ389" s="548">
        <f t="shared" si="191"/>
        <v>328497320.41152185</v>
      </c>
      <c r="AK389" s="510">
        <f t="shared" si="191"/>
        <v>485327146.15158182</v>
      </c>
    </row>
    <row r="390" spans="1:37" ht="11.5" x14ac:dyDescent="0.25">
      <c r="A390" s="1257" t="s">
        <v>1051</v>
      </c>
      <c r="B390" s="1258"/>
      <c r="C390" s="1259" t="s">
        <v>37</v>
      </c>
      <c r="D390" s="1254">
        <f t="shared" ref="D390:AH390" si="192">D378-D389+D40</f>
        <v>0</v>
      </c>
      <c r="E390" s="1254">
        <f t="shared" si="192"/>
        <v>6087333.8991103154</v>
      </c>
      <c r="F390" s="1254">
        <f t="shared" si="192"/>
        <v>5782967.2041547988</v>
      </c>
      <c r="G390" s="1254">
        <f t="shared" si="192"/>
        <v>5478600.5091992831</v>
      </c>
      <c r="H390" s="1254">
        <f t="shared" si="192"/>
        <v>5174233.8142437674</v>
      </c>
      <c r="I390" s="1254">
        <f t="shared" si="192"/>
        <v>4869867.1192882517</v>
      </c>
      <c r="J390" s="1254">
        <f t="shared" si="192"/>
        <v>4565500.4243327361</v>
      </c>
      <c r="K390" s="1254">
        <f t="shared" si="192"/>
        <v>4261133.7293772195</v>
      </c>
      <c r="L390" s="1254">
        <f t="shared" si="192"/>
        <v>3956767.0344217042</v>
      </c>
      <c r="M390" s="1254">
        <f t="shared" si="192"/>
        <v>3652400.339466189</v>
      </c>
      <c r="N390" s="1254">
        <f t="shared" si="192"/>
        <v>3348033.6445106734</v>
      </c>
      <c r="O390" s="1254">
        <f t="shared" si="192"/>
        <v>3043666.9495551577</v>
      </c>
      <c r="P390" s="1254">
        <f t="shared" si="192"/>
        <v>2739300.2545996415</v>
      </c>
      <c r="Q390" s="1254">
        <f t="shared" si="192"/>
        <v>2434933.5596441259</v>
      </c>
      <c r="R390" s="1254">
        <f t="shared" si="192"/>
        <v>2130566.8646886097</v>
      </c>
      <c r="S390" s="1254">
        <f t="shared" si="192"/>
        <v>1826200.1697330945</v>
      </c>
      <c r="T390" s="1254">
        <f t="shared" si="192"/>
        <v>1521833.4747775788</v>
      </c>
      <c r="U390" s="1254">
        <f t="shared" si="192"/>
        <v>1217466.7798220629</v>
      </c>
      <c r="V390" s="1254">
        <f t="shared" si="192"/>
        <v>913100.08486654726</v>
      </c>
      <c r="W390" s="1254">
        <f t="shared" si="192"/>
        <v>608733.38991103147</v>
      </c>
      <c r="X390" s="1254">
        <f t="shared" si="192"/>
        <v>304366.69495551573</v>
      </c>
      <c r="Y390" s="1254">
        <f t="shared" si="192"/>
        <v>0</v>
      </c>
      <c r="Z390" s="1254">
        <f t="shared" si="192"/>
        <v>0</v>
      </c>
      <c r="AA390" s="1254">
        <f t="shared" si="192"/>
        <v>0</v>
      </c>
      <c r="AB390" s="1254">
        <f t="shared" si="192"/>
        <v>0</v>
      </c>
      <c r="AC390" s="1254">
        <f t="shared" si="192"/>
        <v>0</v>
      </c>
      <c r="AD390" s="1254">
        <f t="shared" si="192"/>
        <v>0</v>
      </c>
      <c r="AE390" s="1254">
        <f t="shared" si="192"/>
        <v>0</v>
      </c>
      <c r="AF390" s="1254">
        <f t="shared" si="192"/>
        <v>0</v>
      </c>
      <c r="AG390" s="1254">
        <f t="shared" si="192"/>
        <v>0</v>
      </c>
      <c r="AH390" s="1254">
        <f t="shared" si="192"/>
        <v>0</v>
      </c>
      <c r="AI390" s="550">
        <f t="shared" ref="AI390:AK390" si="193">AI348-AI389</f>
        <v>-140388185.88260689</v>
      </c>
      <c r="AJ390" s="550">
        <f t="shared" si="193"/>
        <v>-273710815.13121307</v>
      </c>
      <c r="AK390" s="551">
        <f t="shared" si="193"/>
        <v>-403147388.23111868</v>
      </c>
    </row>
    <row r="391" spans="1:37" ht="11.5" x14ac:dyDescent="0.25">
      <c r="A391" s="694" t="s">
        <v>47</v>
      </c>
      <c r="B391" s="698"/>
      <c r="C391" s="699" t="s">
        <v>37</v>
      </c>
      <c r="D391" s="695"/>
      <c r="E391" s="695">
        <f>-計算シート!E82</f>
        <v>21891656.892474696</v>
      </c>
      <c r="F391" s="695">
        <f>-計算シート!F82</f>
        <v>20653049.989347842</v>
      </c>
      <c r="G391" s="695">
        <f>-計算シート!G82</f>
        <v>19414443.086220983</v>
      </c>
      <c r="H391" s="695">
        <f>-計算シート!H82</f>
        <v>18175836.183094125</v>
      </c>
      <c r="I391" s="695">
        <f>-計算シート!I82</f>
        <v>16937229.279967267</v>
      </c>
      <c r="J391" s="695">
        <f>-計算シート!J82</f>
        <v>15698622.376840409</v>
      </c>
      <c r="K391" s="695">
        <f>-計算シート!K82</f>
        <v>14460015.473713551</v>
      </c>
      <c r="L391" s="695">
        <f>-計算シート!L82</f>
        <v>13221408.570586693</v>
      </c>
      <c r="M391" s="695">
        <f>-計算シート!M82</f>
        <v>11982801.667459836</v>
      </c>
      <c r="N391" s="695">
        <f>-計算シート!N82</f>
        <v>10744194.764332978</v>
      </c>
      <c r="O391" s="695">
        <f>-計算シート!O82</f>
        <v>9505587.8612061199</v>
      </c>
      <c r="P391" s="695">
        <f>-計算シート!P82</f>
        <v>8266980.9580792617</v>
      </c>
      <c r="Q391" s="695">
        <f>-計算シート!Q82</f>
        <v>7028374.0549524045</v>
      </c>
      <c r="R391" s="695">
        <f>-計算シート!R82</f>
        <v>5789767.1518255463</v>
      </c>
      <c r="S391" s="695">
        <f>-計算シート!S82</f>
        <v>4551160.248698689</v>
      </c>
      <c r="T391" s="695">
        <f>-計算シート!T82</f>
        <v>3312553.3455718309</v>
      </c>
      <c r="U391" s="695">
        <f>-計算シート!U82</f>
        <v>3168529.2870687079</v>
      </c>
      <c r="V391" s="695">
        <f>-計算シート!V82</f>
        <v>3024505.2285655849</v>
      </c>
      <c r="W391" s="695">
        <f>-計算シート!W82</f>
        <v>2880481.1700624619</v>
      </c>
      <c r="X391" s="695">
        <f>-計算シート!X82</f>
        <v>2736457.1115593389</v>
      </c>
      <c r="Y391" s="695">
        <f>-計算シート!Y82</f>
        <v>2592433.0530562159</v>
      </c>
      <c r="Z391" s="695">
        <f>-計算シート!Z82</f>
        <v>2448408.9945530929</v>
      </c>
      <c r="AA391" s="695">
        <f>-計算シート!AA82</f>
        <v>2304384.9360499699</v>
      </c>
      <c r="AB391" s="695">
        <f>-計算シート!AB82</f>
        <v>2160360.8775468469</v>
      </c>
      <c r="AC391" s="695">
        <f>-計算シート!AC82</f>
        <v>2016336.8190437239</v>
      </c>
      <c r="AD391" s="695">
        <f>-計算シート!AD82</f>
        <v>1872312.7605406009</v>
      </c>
      <c r="AE391" s="695">
        <f>-計算シート!AE82</f>
        <v>1728288.7020374779</v>
      </c>
      <c r="AF391" s="695">
        <f>-計算シート!AF82</f>
        <v>1584264.6435343549</v>
      </c>
      <c r="AG391" s="695">
        <f>-計算シート!AG82</f>
        <v>1440240.5850312319</v>
      </c>
      <c r="AH391" s="695">
        <f>-計算シート!AH82</f>
        <v>1296216.5265281089</v>
      </c>
      <c r="AI391" s="696">
        <f t="shared" si="187"/>
        <v>163179258.28403839</v>
      </c>
      <c r="AJ391" s="696">
        <f>SUM(D391:X391)</f>
        <v>213443654.70162827</v>
      </c>
      <c r="AK391" s="697">
        <f>SUM(D391:AH391)</f>
        <v>232886902.59954992</v>
      </c>
    </row>
    <row r="392" spans="1:37" x14ac:dyDescent="0.2">
      <c r="B392" s="532"/>
      <c r="C392" s="372"/>
      <c r="D392" s="507"/>
      <c r="E392" s="507"/>
      <c r="F392" s="507"/>
      <c r="G392" s="507"/>
      <c r="H392" s="507"/>
      <c r="I392" s="507"/>
      <c r="J392" s="507"/>
      <c r="K392" s="507"/>
      <c r="L392" s="507"/>
      <c r="M392" s="507"/>
      <c r="N392" s="507"/>
      <c r="O392" s="507"/>
      <c r="P392" s="507"/>
      <c r="Q392" s="507"/>
      <c r="R392" s="507"/>
      <c r="S392" s="507"/>
      <c r="T392" s="507"/>
      <c r="U392" s="507"/>
      <c r="V392" s="507"/>
      <c r="W392" s="507"/>
      <c r="X392" s="507"/>
      <c r="Y392" s="507"/>
      <c r="Z392" s="507"/>
      <c r="AA392" s="507"/>
      <c r="AB392" s="507"/>
      <c r="AC392" s="507"/>
      <c r="AD392" s="507"/>
      <c r="AE392" s="507"/>
      <c r="AF392" s="507"/>
      <c r="AG392" s="507"/>
      <c r="AH392" s="507"/>
      <c r="AI392" s="507"/>
      <c r="AJ392" s="507"/>
    </row>
    <row r="393" spans="1:37" ht="11.5" thickBot="1" x14ac:dyDescent="0.25">
      <c r="A393" s="478" t="s">
        <v>282</v>
      </c>
    </row>
    <row r="394" spans="1:37" ht="12" thickBot="1" x14ac:dyDescent="0.3">
      <c r="A394" s="459"/>
      <c r="B394" s="521" t="s">
        <v>274</v>
      </c>
      <c r="C394" s="460"/>
      <c r="D394" s="594">
        <v>0</v>
      </c>
      <c r="E394" s="461">
        <v>1</v>
      </c>
      <c r="F394" s="461">
        <v>2</v>
      </c>
      <c r="G394" s="461">
        <v>3</v>
      </c>
      <c r="H394" s="461">
        <v>4</v>
      </c>
      <c r="I394" s="461">
        <v>5</v>
      </c>
      <c r="J394" s="461">
        <v>6</v>
      </c>
      <c r="K394" s="461">
        <v>7</v>
      </c>
      <c r="L394" s="461">
        <v>8</v>
      </c>
      <c r="M394" s="461">
        <v>9</v>
      </c>
      <c r="N394" s="461">
        <v>10</v>
      </c>
      <c r="O394" s="461">
        <v>11</v>
      </c>
      <c r="P394" s="461">
        <v>12</v>
      </c>
      <c r="Q394" s="461">
        <v>13</v>
      </c>
      <c r="R394" s="461">
        <v>14</v>
      </c>
      <c r="S394" s="461">
        <v>15</v>
      </c>
      <c r="T394" s="461">
        <v>16</v>
      </c>
      <c r="U394" s="461">
        <v>17</v>
      </c>
      <c r="V394" s="461">
        <v>18</v>
      </c>
      <c r="W394" s="461">
        <v>19</v>
      </c>
      <c r="X394" s="462">
        <v>20</v>
      </c>
      <c r="Y394" s="462">
        <v>21</v>
      </c>
      <c r="Z394" s="462">
        <v>22</v>
      </c>
      <c r="AA394" s="462">
        <v>23</v>
      </c>
      <c r="AB394" s="462">
        <v>24</v>
      </c>
      <c r="AC394" s="462">
        <v>25</v>
      </c>
      <c r="AD394" s="462">
        <v>26</v>
      </c>
      <c r="AE394" s="462">
        <v>27</v>
      </c>
      <c r="AF394" s="462">
        <v>28</v>
      </c>
      <c r="AG394" s="462">
        <v>29</v>
      </c>
      <c r="AH394" s="476">
        <v>30</v>
      </c>
      <c r="AI394" s="549" t="s">
        <v>306</v>
      </c>
      <c r="AJ394" s="549" t="s">
        <v>270</v>
      </c>
      <c r="AK394" s="539" t="s">
        <v>271</v>
      </c>
    </row>
    <row r="395" spans="1:37" x14ac:dyDescent="0.2">
      <c r="A395" s="452" t="s">
        <v>206</v>
      </c>
      <c r="B395" s="478"/>
      <c r="C395" s="465"/>
      <c r="D395" s="507"/>
      <c r="E395" s="507"/>
      <c r="F395" s="507"/>
      <c r="G395" s="507"/>
      <c r="H395" s="507"/>
      <c r="I395" s="507"/>
      <c r="J395" s="507"/>
      <c r="K395" s="507"/>
      <c r="L395" s="507"/>
      <c r="M395" s="507"/>
      <c r="N395" s="507"/>
      <c r="O395" s="507"/>
      <c r="P395" s="507"/>
      <c r="Q395" s="507"/>
      <c r="R395" s="507"/>
      <c r="S395" s="507"/>
      <c r="T395" s="507"/>
      <c r="U395" s="507"/>
      <c r="V395" s="507"/>
      <c r="W395" s="507"/>
      <c r="X395" s="507"/>
      <c r="Y395" s="507"/>
      <c r="Z395" s="507"/>
      <c r="AA395" s="507"/>
      <c r="AB395" s="507"/>
      <c r="AC395" s="507"/>
      <c r="AD395" s="507"/>
      <c r="AE395" s="507"/>
      <c r="AF395" s="507"/>
      <c r="AG395" s="507"/>
      <c r="AH395" s="507"/>
      <c r="AI395" s="516"/>
      <c r="AJ395" s="516"/>
      <c r="AK395" s="516"/>
    </row>
    <row r="396" spans="1:37" x14ac:dyDescent="0.2">
      <c r="A396" s="1266" t="s">
        <v>1055</v>
      </c>
      <c r="B396" s="1267"/>
      <c r="C396" s="1268" t="s">
        <v>37</v>
      </c>
      <c r="D396" s="1269">
        <f>SUM(D28:D29)</f>
        <v>1563689778.0339069</v>
      </c>
      <c r="E396" s="1269">
        <f t="shared" ref="E396:F396" si="194">SUM(E28:E29)</f>
        <v>0</v>
      </c>
      <c r="F396" s="1269">
        <f t="shared" si="194"/>
        <v>0</v>
      </c>
      <c r="G396" s="1269">
        <f t="shared" ref="G396:AK396" si="195">SUM(G28:G29)</f>
        <v>0</v>
      </c>
      <c r="H396" s="1269">
        <f t="shared" si="195"/>
        <v>0</v>
      </c>
      <c r="I396" s="1269">
        <f t="shared" si="195"/>
        <v>0</v>
      </c>
      <c r="J396" s="1269">
        <f t="shared" si="195"/>
        <v>0</v>
      </c>
      <c r="K396" s="1269">
        <f t="shared" si="195"/>
        <v>0</v>
      </c>
      <c r="L396" s="1269">
        <f t="shared" si="195"/>
        <v>0</v>
      </c>
      <c r="M396" s="1269">
        <f t="shared" si="195"/>
        <v>0</v>
      </c>
      <c r="N396" s="1269">
        <f t="shared" si="195"/>
        <v>0</v>
      </c>
      <c r="O396" s="1269">
        <f t="shared" si="195"/>
        <v>0</v>
      </c>
      <c r="P396" s="1269">
        <f t="shared" si="195"/>
        <v>0</v>
      </c>
      <c r="Q396" s="1269">
        <f t="shared" si="195"/>
        <v>0</v>
      </c>
      <c r="R396" s="1269">
        <f t="shared" si="195"/>
        <v>0</v>
      </c>
      <c r="S396" s="1269">
        <f t="shared" si="195"/>
        <v>0</v>
      </c>
      <c r="T396" s="1269">
        <f t="shared" si="195"/>
        <v>0</v>
      </c>
      <c r="U396" s="1269">
        <f t="shared" si="195"/>
        <v>0</v>
      </c>
      <c r="V396" s="1269">
        <f t="shared" si="195"/>
        <v>0</v>
      </c>
      <c r="W396" s="1269">
        <f t="shared" si="195"/>
        <v>0</v>
      </c>
      <c r="X396" s="1269">
        <f t="shared" si="195"/>
        <v>0</v>
      </c>
      <c r="Y396" s="1269">
        <f t="shared" si="195"/>
        <v>0</v>
      </c>
      <c r="Z396" s="1269">
        <f t="shared" si="195"/>
        <v>0</v>
      </c>
      <c r="AA396" s="1269">
        <f t="shared" si="195"/>
        <v>0</v>
      </c>
      <c r="AB396" s="1269">
        <f t="shared" si="195"/>
        <v>0</v>
      </c>
      <c r="AC396" s="1269">
        <f t="shared" si="195"/>
        <v>0</v>
      </c>
      <c r="AD396" s="1269">
        <f t="shared" si="195"/>
        <v>0</v>
      </c>
      <c r="AE396" s="1269">
        <f t="shared" si="195"/>
        <v>0</v>
      </c>
      <c r="AF396" s="1269">
        <f t="shared" si="195"/>
        <v>0</v>
      </c>
      <c r="AG396" s="1269">
        <f t="shared" si="195"/>
        <v>0</v>
      </c>
      <c r="AH396" s="1269">
        <f t="shared" si="195"/>
        <v>0</v>
      </c>
      <c r="AI396" s="1276">
        <f t="shared" si="195"/>
        <v>1563689778.0339069</v>
      </c>
      <c r="AJ396" s="1276">
        <f t="shared" si="195"/>
        <v>1563689778.0339069</v>
      </c>
      <c r="AK396" s="1277">
        <f t="shared" si="195"/>
        <v>1563689778.0339069</v>
      </c>
    </row>
    <row r="397" spans="1:37" x14ac:dyDescent="0.2">
      <c r="A397" s="1270" t="s">
        <v>283</v>
      </c>
      <c r="B397" s="1266"/>
      <c r="C397" s="1268" t="s">
        <v>37</v>
      </c>
      <c r="D397" s="1269">
        <f>SUMIF($B$46:$B$136,"売上（税別）",D$46:D$136)</f>
        <v>488653055.63559592</v>
      </c>
      <c r="E397" s="1269">
        <f t="shared" ref="E397:AK397" si="196">SUMIF($B$46:$B$136,"売上（税別）",E$46:E$136)</f>
        <v>0</v>
      </c>
      <c r="F397" s="1269">
        <f t="shared" si="196"/>
        <v>0</v>
      </c>
      <c r="G397" s="1269">
        <f t="shared" si="196"/>
        <v>0</v>
      </c>
      <c r="H397" s="1269">
        <f t="shared" si="196"/>
        <v>0</v>
      </c>
      <c r="I397" s="1269">
        <f t="shared" si="196"/>
        <v>0</v>
      </c>
      <c r="J397" s="1269">
        <f t="shared" si="196"/>
        <v>0</v>
      </c>
      <c r="K397" s="1269">
        <f t="shared" si="196"/>
        <v>0</v>
      </c>
      <c r="L397" s="1269">
        <f t="shared" si="196"/>
        <v>0</v>
      </c>
      <c r="M397" s="1269">
        <f t="shared" si="196"/>
        <v>0</v>
      </c>
      <c r="N397" s="1269">
        <f t="shared" si="196"/>
        <v>0</v>
      </c>
      <c r="O397" s="1269">
        <f t="shared" si="196"/>
        <v>0</v>
      </c>
      <c r="P397" s="1269">
        <f t="shared" si="196"/>
        <v>0</v>
      </c>
      <c r="Q397" s="1269">
        <f t="shared" si="196"/>
        <v>0</v>
      </c>
      <c r="R397" s="1269">
        <f t="shared" si="196"/>
        <v>0</v>
      </c>
      <c r="S397" s="1269">
        <f t="shared" si="196"/>
        <v>0</v>
      </c>
      <c r="T397" s="1269">
        <f t="shared" si="196"/>
        <v>0</v>
      </c>
      <c r="U397" s="1269">
        <f t="shared" si="196"/>
        <v>0</v>
      </c>
      <c r="V397" s="1269">
        <f t="shared" si="196"/>
        <v>0</v>
      </c>
      <c r="W397" s="1269">
        <f t="shared" si="196"/>
        <v>0</v>
      </c>
      <c r="X397" s="1269">
        <f t="shared" si="196"/>
        <v>0</v>
      </c>
      <c r="Y397" s="1269">
        <f t="shared" si="196"/>
        <v>0</v>
      </c>
      <c r="Z397" s="1269">
        <f t="shared" si="196"/>
        <v>0</v>
      </c>
      <c r="AA397" s="1269">
        <f t="shared" si="196"/>
        <v>0</v>
      </c>
      <c r="AB397" s="1269">
        <f t="shared" si="196"/>
        <v>0</v>
      </c>
      <c r="AC397" s="1269">
        <f t="shared" si="196"/>
        <v>0</v>
      </c>
      <c r="AD397" s="1269">
        <f t="shared" si="196"/>
        <v>0</v>
      </c>
      <c r="AE397" s="1269">
        <f t="shared" si="196"/>
        <v>0</v>
      </c>
      <c r="AF397" s="1269">
        <f t="shared" si="196"/>
        <v>0</v>
      </c>
      <c r="AG397" s="1269">
        <f t="shared" si="196"/>
        <v>0</v>
      </c>
      <c r="AH397" s="1269">
        <f t="shared" si="196"/>
        <v>0</v>
      </c>
      <c r="AI397" s="1276">
        <f t="shared" si="196"/>
        <v>488653055.63559592</v>
      </c>
      <c r="AJ397" s="1276">
        <f t="shared" si="196"/>
        <v>488653055.63559592</v>
      </c>
      <c r="AK397" s="1278">
        <f t="shared" si="196"/>
        <v>488653055.63559592</v>
      </c>
    </row>
    <row r="398" spans="1:37" x14ac:dyDescent="0.2">
      <c r="A398" s="426"/>
      <c r="B398" s="1267" t="s">
        <v>1048</v>
      </c>
      <c r="C398" s="465" t="s">
        <v>37</v>
      </c>
      <c r="D398" s="507">
        <f t="shared" ref="D398:S409" si="197">SUMIF($B$46:$B$136,$B398,D$46:D$136)</f>
        <v>5375183.6119915545</v>
      </c>
      <c r="E398" s="507">
        <f t="shared" si="197"/>
        <v>0</v>
      </c>
      <c r="F398" s="507">
        <f t="shared" si="197"/>
        <v>0</v>
      </c>
      <c r="G398" s="507">
        <f t="shared" si="197"/>
        <v>0</v>
      </c>
      <c r="H398" s="507">
        <f t="shared" si="197"/>
        <v>0</v>
      </c>
      <c r="I398" s="507">
        <f t="shared" si="197"/>
        <v>0</v>
      </c>
      <c r="J398" s="507">
        <f t="shared" si="197"/>
        <v>0</v>
      </c>
      <c r="K398" s="507">
        <f t="shared" si="197"/>
        <v>0</v>
      </c>
      <c r="L398" s="507">
        <f t="shared" si="197"/>
        <v>0</v>
      </c>
      <c r="M398" s="507">
        <f t="shared" si="197"/>
        <v>0</v>
      </c>
      <c r="N398" s="507">
        <f t="shared" si="197"/>
        <v>0</v>
      </c>
      <c r="O398" s="507">
        <f t="shared" si="197"/>
        <v>0</v>
      </c>
      <c r="P398" s="507">
        <f t="shared" si="197"/>
        <v>0</v>
      </c>
      <c r="Q398" s="507">
        <f t="shared" si="197"/>
        <v>0</v>
      </c>
      <c r="R398" s="507">
        <f t="shared" si="197"/>
        <v>0</v>
      </c>
      <c r="S398" s="507">
        <f t="shared" si="197"/>
        <v>0</v>
      </c>
      <c r="T398" s="507">
        <f t="shared" ref="G398:AH407" si="198">SUMIF($B$46:$B$136,$B398,T$46:T$136)</f>
        <v>0</v>
      </c>
      <c r="U398" s="507">
        <f t="shared" si="198"/>
        <v>0</v>
      </c>
      <c r="V398" s="507">
        <f t="shared" si="198"/>
        <v>0</v>
      </c>
      <c r="W398" s="507">
        <f t="shared" si="198"/>
        <v>0</v>
      </c>
      <c r="X398" s="507">
        <f t="shared" si="198"/>
        <v>0</v>
      </c>
      <c r="Y398" s="507">
        <f t="shared" si="198"/>
        <v>0</v>
      </c>
      <c r="Z398" s="507">
        <f t="shared" si="198"/>
        <v>0</v>
      </c>
      <c r="AA398" s="507">
        <f t="shared" si="198"/>
        <v>0</v>
      </c>
      <c r="AB398" s="507">
        <f t="shared" si="198"/>
        <v>0</v>
      </c>
      <c r="AC398" s="507">
        <f t="shared" si="198"/>
        <v>0</v>
      </c>
      <c r="AD398" s="507">
        <f t="shared" si="198"/>
        <v>0</v>
      </c>
      <c r="AE398" s="507">
        <f t="shared" si="198"/>
        <v>0</v>
      </c>
      <c r="AF398" s="507">
        <f t="shared" si="198"/>
        <v>0</v>
      </c>
      <c r="AG398" s="507">
        <f t="shared" si="198"/>
        <v>0</v>
      </c>
      <c r="AH398" s="507">
        <f t="shared" si="198"/>
        <v>0</v>
      </c>
      <c r="AI398" s="516">
        <f>SUM(D398:N398)</f>
        <v>5375183.6119915545</v>
      </c>
      <c r="AJ398" s="516">
        <f>SUM(D398:X398)</f>
        <v>5375183.6119915545</v>
      </c>
      <c r="AK398" s="600">
        <f>SUM(D398:AH398)</f>
        <v>5375183.6119915545</v>
      </c>
    </row>
    <row r="399" spans="1:37" x14ac:dyDescent="0.2">
      <c r="A399" s="426"/>
      <c r="B399" s="478" t="s">
        <v>263</v>
      </c>
      <c r="C399" s="465" t="s">
        <v>37</v>
      </c>
      <c r="D399" s="507">
        <f t="shared" si="197"/>
        <v>5375183.6119915545</v>
      </c>
      <c r="E399" s="507">
        <f t="shared" si="197"/>
        <v>0</v>
      </c>
      <c r="F399" s="507">
        <f t="shared" si="197"/>
        <v>0</v>
      </c>
      <c r="G399" s="507">
        <f t="shared" si="198"/>
        <v>0</v>
      </c>
      <c r="H399" s="507">
        <f t="shared" si="198"/>
        <v>0</v>
      </c>
      <c r="I399" s="507">
        <f t="shared" si="198"/>
        <v>0</v>
      </c>
      <c r="J399" s="507">
        <f t="shared" si="198"/>
        <v>0</v>
      </c>
      <c r="K399" s="507">
        <f t="shared" si="198"/>
        <v>0</v>
      </c>
      <c r="L399" s="507">
        <f t="shared" si="198"/>
        <v>0</v>
      </c>
      <c r="M399" s="507">
        <f t="shared" si="198"/>
        <v>0</v>
      </c>
      <c r="N399" s="507">
        <f t="shared" si="198"/>
        <v>0</v>
      </c>
      <c r="O399" s="507">
        <f t="shared" si="198"/>
        <v>0</v>
      </c>
      <c r="P399" s="507">
        <f t="shared" si="198"/>
        <v>0</v>
      </c>
      <c r="Q399" s="507">
        <f t="shared" si="198"/>
        <v>0</v>
      </c>
      <c r="R399" s="507">
        <f t="shared" si="198"/>
        <v>0</v>
      </c>
      <c r="S399" s="507">
        <f t="shared" si="198"/>
        <v>0</v>
      </c>
      <c r="T399" s="507">
        <f t="shared" si="198"/>
        <v>0</v>
      </c>
      <c r="U399" s="507">
        <f t="shared" si="198"/>
        <v>0</v>
      </c>
      <c r="V399" s="507">
        <f t="shared" si="198"/>
        <v>0</v>
      </c>
      <c r="W399" s="507">
        <f t="shared" si="198"/>
        <v>0</v>
      </c>
      <c r="X399" s="507">
        <f t="shared" si="198"/>
        <v>0</v>
      </c>
      <c r="Y399" s="507">
        <f t="shared" si="198"/>
        <v>0</v>
      </c>
      <c r="Z399" s="507">
        <f t="shared" si="198"/>
        <v>0</v>
      </c>
      <c r="AA399" s="507">
        <f t="shared" si="198"/>
        <v>0</v>
      </c>
      <c r="AB399" s="507">
        <f t="shared" si="198"/>
        <v>0</v>
      </c>
      <c r="AC399" s="507">
        <f t="shared" si="198"/>
        <v>0</v>
      </c>
      <c r="AD399" s="507">
        <f t="shared" si="198"/>
        <v>0</v>
      </c>
      <c r="AE399" s="507">
        <f t="shared" si="198"/>
        <v>0</v>
      </c>
      <c r="AF399" s="507">
        <f t="shared" si="198"/>
        <v>0</v>
      </c>
      <c r="AG399" s="507">
        <f t="shared" si="198"/>
        <v>0</v>
      </c>
      <c r="AH399" s="507">
        <f t="shared" si="198"/>
        <v>0</v>
      </c>
      <c r="AI399" s="516">
        <f>SUM(D399:N399)</f>
        <v>5375183.6119915545</v>
      </c>
      <c r="AJ399" s="516">
        <f>SUM(D399:X399)</f>
        <v>5375183.6119915545</v>
      </c>
      <c r="AK399" s="600">
        <f>SUM(D399:AH399)</f>
        <v>5375183.6119915545</v>
      </c>
    </row>
    <row r="400" spans="1:37" x14ac:dyDescent="0.2">
      <c r="A400" s="426"/>
      <c r="B400" s="452" t="s">
        <v>356</v>
      </c>
      <c r="C400" s="465" t="s">
        <v>37</v>
      </c>
      <c r="D400" s="507">
        <f t="shared" si="197"/>
        <v>0</v>
      </c>
      <c r="E400" s="507">
        <f t="shared" si="197"/>
        <v>0</v>
      </c>
      <c r="F400" s="507">
        <f t="shared" si="197"/>
        <v>0</v>
      </c>
      <c r="G400" s="507">
        <f t="shared" si="198"/>
        <v>0</v>
      </c>
      <c r="H400" s="507">
        <f t="shared" si="198"/>
        <v>0</v>
      </c>
      <c r="I400" s="507">
        <f t="shared" si="198"/>
        <v>0</v>
      </c>
      <c r="J400" s="507">
        <f t="shared" si="198"/>
        <v>0</v>
      </c>
      <c r="K400" s="507">
        <f t="shared" si="198"/>
        <v>0</v>
      </c>
      <c r="L400" s="507">
        <f t="shared" si="198"/>
        <v>0</v>
      </c>
      <c r="M400" s="507">
        <f t="shared" si="198"/>
        <v>0</v>
      </c>
      <c r="N400" s="507">
        <f t="shared" si="198"/>
        <v>0</v>
      </c>
      <c r="O400" s="507">
        <f t="shared" si="198"/>
        <v>0</v>
      </c>
      <c r="P400" s="507">
        <f t="shared" si="198"/>
        <v>0</v>
      </c>
      <c r="Q400" s="507">
        <f t="shared" si="198"/>
        <v>0</v>
      </c>
      <c r="R400" s="507">
        <f t="shared" si="198"/>
        <v>0</v>
      </c>
      <c r="S400" s="507">
        <f t="shared" si="198"/>
        <v>0</v>
      </c>
      <c r="T400" s="507">
        <f t="shared" si="198"/>
        <v>0</v>
      </c>
      <c r="U400" s="507">
        <f t="shared" si="198"/>
        <v>0</v>
      </c>
      <c r="V400" s="507">
        <f t="shared" si="198"/>
        <v>0</v>
      </c>
      <c r="W400" s="507">
        <f t="shared" si="198"/>
        <v>0</v>
      </c>
      <c r="X400" s="507">
        <f t="shared" si="198"/>
        <v>0</v>
      </c>
      <c r="Y400" s="507">
        <f t="shared" si="198"/>
        <v>0</v>
      </c>
      <c r="Z400" s="507">
        <f t="shared" si="198"/>
        <v>0</v>
      </c>
      <c r="AA400" s="507">
        <f t="shared" si="198"/>
        <v>0</v>
      </c>
      <c r="AB400" s="507">
        <f t="shared" si="198"/>
        <v>0</v>
      </c>
      <c r="AC400" s="507">
        <f t="shared" si="198"/>
        <v>0</v>
      </c>
      <c r="AD400" s="507">
        <f t="shared" si="198"/>
        <v>0</v>
      </c>
      <c r="AE400" s="507">
        <f t="shared" si="198"/>
        <v>0</v>
      </c>
      <c r="AF400" s="507">
        <f t="shared" si="198"/>
        <v>0</v>
      </c>
      <c r="AG400" s="507">
        <f t="shared" si="198"/>
        <v>0</v>
      </c>
      <c r="AH400" s="507">
        <f t="shared" si="198"/>
        <v>0</v>
      </c>
      <c r="AI400" s="516">
        <f>SUM(D400:N400)</f>
        <v>0</v>
      </c>
      <c r="AJ400" s="516">
        <f>SUM(D400:X400)</f>
        <v>0</v>
      </c>
      <c r="AK400" s="600">
        <f>SUM(D400:AH400)</f>
        <v>0</v>
      </c>
    </row>
    <row r="401" spans="1:37" x14ac:dyDescent="0.2">
      <c r="A401" s="426"/>
      <c r="B401" s="452" t="s">
        <v>355</v>
      </c>
      <c r="C401" s="465" t="s">
        <v>37</v>
      </c>
      <c r="D401" s="507">
        <f t="shared" si="197"/>
        <v>0</v>
      </c>
      <c r="E401" s="507">
        <f t="shared" si="197"/>
        <v>0</v>
      </c>
      <c r="F401" s="507">
        <f t="shared" si="197"/>
        <v>0</v>
      </c>
      <c r="G401" s="507">
        <f t="shared" si="198"/>
        <v>0</v>
      </c>
      <c r="H401" s="507">
        <f t="shared" si="198"/>
        <v>0</v>
      </c>
      <c r="I401" s="507">
        <f t="shared" si="198"/>
        <v>0</v>
      </c>
      <c r="J401" s="507">
        <f t="shared" si="198"/>
        <v>0</v>
      </c>
      <c r="K401" s="507">
        <f t="shared" si="198"/>
        <v>0</v>
      </c>
      <c r="L401" s="507">
        <f t="shared" si="198"/>
        <v>0</v>
      </c>
      <c r="M401" s="507">
        <f t="shared" si="198"/>
        <v>0</v>
      </c>
      <c r="N401" s="507">
        <f t="shared" si="198"/>
        <v>0</v>
      </c>
      <c r="O401" s="507">
        <f t="shared" si="198"/>
        <v>0</v>
      </c>
      <c r="P401" s="507">
        <f t="shared" si="198"/>
        <v>0</v>
      </c>
      <c r="Q401" s="507">
        <f t="shared" si="198"/>
        <v>0</v>
      </c>
      <c r="R401" s="507">
        <f t="shared" si="198"/>
        <v>0</v>
      </c>
      <c r="S401" s="507">
        <f t="shared" si="198"/>
        <v>0</v>
      </c>
      <c r="T401" s="507">
        <f t="shared" si="198"/>
        <v>0</v>
      </c>
      <c r="U401" s="507">
        <f t="shared" si="198"/>
        <v>0</v>
      </c>
      <c r="V401" s="507">
        <f t="shared" si="198"/>
        <v>0</v>
      </c>
      <c r="W401" s="507">
        <f t="shared" si="198"/>
        <v>0</v>
      </c>
      <c r="X401" s="507">
        <f t="shared" si="198"/>
        <v>0</v>
      </c>
      <c r="Y401" s="507">
        <f t="shared" si="198"/>
        <v>0</v>
      </c>
      <c r="Z401" s="507">
        <f t="shared" si="198"/>
        <v>0</v>
      </c>
      <c r="AA401" s="507">
        <f t="shared" si="198"/>
        <v>0</v>
      </c>
      <c r="AB401" s="507">
        <f t="shared" si="198"/>
        <v>0</v>
      </c>
      <c r="AC401" s="507">
        <f t="shared" si="198"/>
        <v>0</v>
      </c>
      <c r="AD401" s="507">
        <f t="shared" si="198"/>
        <v>0</v>
      </c>
      <c r="AE401" s="507">
        <f t="shared" si="198"/>
        <v>0</v>
      </c>
      <c r="AF401" s="507">
        <f t="shared" si="198"/>
        <v>0</v>
      </c>
      <c r="AG401" s="507">
        <f t="shared" si="198"/>
        <v>0</v>
      </c>
      <c r="AH401" s="507">
        <f t="shared" si="198"/>
        <v>0</v>
      </c>
      <c r="AI401" s="516">
        <f>SUM(D401:N401)</f>
        <v>0</v>
      </c>
      <c r="AJ401" s="516">
        <f>SUM(D401:X401)</f>
        <v>0</v>
      </c>
      <c r="AK401" s="600">
        <f>SUM(D401:AH401)</f>
        <v>0</v>
      </c>
    </row>
    <row r="402" spans="1:37" x14ac:dyDescent="0.2">
      <c r="A402" s="505"/>
      <c r="B402" s="452" t="s">
        <v>339</v>
      </c>
      <c r="C402" s="465" t="s">
        <v>37</v>
      </c>
      <c r="D402" s="507">
        <f t="shared" si="197"/>
        <v>54676690.528697133</v>
      </c>
      <c r="E402" s="507">
        <f t="shared" si="197"/>
        <v>0</v>
      </c>
      <c r="F402" s="507">
        <f t="shared" si="197"/>
        <v>0</v>
      </c>
      <c r="G402" s="507">
        <f t="shared" si="198"/>
        <v>0</v>
      </c>
      <c r="H402" s="507">
        <f t="shared" si="198"/>
        <v>0</v>
      </c>
      <c r="I402" s="507">
        <f t="shared" si="198"/>
        <v>0</v>
      </c>
      <c r="J402" s="507">
        <f t="shared" si="198"/>
        <v>0</v>
      </c>
      <c r="K402" s="507">
        <f t="shared" si="198"/>
        <v>0</v>
      </c>
      <c r="L402" s="507">
        <f t="shared" si="198"/>
        <v>0</v>
      </c>
      <c r="M402" s="507">
        <f t="shared" si="198"/>
        <v>0</v>
      </c>
      <c r="N402" s="507">
        <f t="shared" si="198"/>
        <v>0</v>
      </c>
      <c r="O402" s="507">
        <f t="shared" si="198"/>
        <v>0</v>
      </c>
      <c r="P402" s="507">
        <f t="shared" si="198"/>
        <v>0</v>
      </c>
      <c r="Q402" s="507">
        <f t="shared" si="198"/>
        <v>0</v>
      </c>
      <c r="R402" s="507">
        <f t="shared" si="198"/>
        <v>0</v>
      </c>
      <c r="S402" s="507">
        <f t="shared" si="198"/>
        <v>0</v>
      </c>
      <c r="T402" s="507">
        <f t="shared" si="198"/>
        <v>0</v>
      </c>
      <c r="U402" s="507">
        <f t="shared" si="198"/>
        <v>0</v>
      </c>
      <c r="V402" s="507">
        <f t="shared" si="198"/>
        <v>0</v>
      </c>
      <c r="W402" s="507">
        <f t="shared" si="198"/>
        <v>0</v>
      </c>
      <c r="X402" s="507">
        <f t="shared" si="198"/>
        <v>0</v>
      </c>
      <c r="Y402" s="507">
        <f t="shared" si="198"/>
        <v>0</v>
      </c>
      <c r="Z402" s="507">
        <f t="shared" si="198"/>
        <v>0</v>
      </c>
      <c r="AA402" s="507">
        <f t="shared" si="198"/>
        <v>0</v>
      </c>
      <c r="AB402" s="507">
        <f t="shared" si="198"/>
        <v>0</v>
      </c>
      <c r="AC402" s="507">
        <f t="shared" si="198"/>
        <v>0</v>
      </c>
      <c r="AD402" s="507">
        <f t="shared" si="198"/>
        <v>0</v>
      </c>
      <c r="AE402" s="507">
        <f t="shared" si="198"/>
        <v>0</v>
      </c>
      <c r="AF402" s="507">
        <f t="shared" si="198"/>
        <v>0</v>
      </c>
      <c r="AG402" s="507">
        <f t="shared" si="198"/>
        <v>0</v>
      </c>
      <c r="AH402" s="507">
        <f t="shared" si="198"/>
        <v>0</v>
      </c>
      <c r="AI402" s="516">
        <f t="shared" ref="AI402:AI411" si="199">SUM(D402:N402)</f>
        <v>54676690.528697133</v>
      </c>
      <c r="AJ402" s="516">
        <f t="shared" ref="AJ402:AJ411" si="200">SUM(D402:X402)</f>
        <v>54676690.528697133</v>
      </c>
      <c r="AK402" s="600">
        <f t="shared" ref="AK402:AK411" si="201">SUM(D402:AH402)</f>
        <v>54676690.528697133</v>
      </c>
    </row>
    <row r="403" spans="1:37" x14ac:dyDescent="0.2">
      <c r="A403" s="505"/>
      <c r="B403" s="452" t="s">
        <v>340</v>
      </c>
      <c r="C403" s="465" t="s">
        <v>37</v>
      </c>
      <c r="D403" s="507">
        <f t="shared" si="197"/>
        <v>21583838.496194109</v>
      </c>
      <c r="E403" s="507">
        <f t="shared" si="197"/>
        <v>0</v>
      </c>
      <c r="F403" s="507">
        <f t="shared" si="197"/>
        <v>0</v>
      </c>
      <c r="G403" s="507">
        <f t="shared" si="198"/>
        <v>0</v>
      </c>
      <c r="H403" s="507">
        <f t="shared" si="198"/>
        <v>0</v>
      </c>
      <c r="I403" s="507">
        <f t="shared" si="198"/>
        <v>0</v>
      </c>
      <c r="J403" s="507">
        <f t="shared" si="198"/>
        <v>0</v>
      </c>
      <c r="K403" s="507">
        <f t="shared" si="198"/>
        <v>0</v>
      </c>
      <c r="L403" s="507">
        <f t="shared" si="198"/>
        <v>0</v>
      </c>
      <c r="M403" s="507">
        <f t="shared" si="198"/>
        <v>0</v>
      </c>
      <c r="N403" s="507">
        <f t="shared" si="198"/>
        <v>0</v>
      </c>
      <c r="O403" s="507">
        <f t="shared" si="198"/>
        <v>0</v>
      </c>
      <c r="P403" s="507">
        <f t="shared" si="198"/>
        <v>0</v>
      </c>
      <c r="Q403" s="507">
        <f t="shared" si="198"/>
        <v>0</v>
      </c>
      <c r="R403" s="507">
        <f t="shared" si="198"/>
        <v>0</v>
      </c>
      <c r="S403" s="507">
        <f t="shared" si="198"/>
        <v>0</v>
      </c>
      <c r="T403" s="507">
        <f t="shared" si="198"/>
        <v>0</v>
      </c>
      <c r="U403" s="507">
        <f t="shared" si="198"/>
        <v>0</v>
      </c>
      <c r="V403" s="507">
        <f t="shared" si="198"/>
        <v>0</v>
      </c>
      <c r="W403" s="507">
        <f t="shared" si="198"/>
        <v>0</v>
      </c>
      <c r="X403" s="507">
        <f t="shared" si="198"/>
        <v>0</v>
      </c>
      <c r="Y403" s="507">
        <f t="shared" si="198"/>
        <v>0</v>
      </c>
      <c r="Z403" s="507">
        <f t="shared" si="198"/>
        <v>0</v>
      </c>
      <c r="AA403" s="507">
        <f t="shared" si="198"/>
        <v>0</v>
      </c>
      <c r="AB403" s="507">
        <f t="shared" si="198"/>
        <v>0</v>
      </c>
      <c r="AC403" s="507">
        <f t="shared" si="198"/>
        <v>0</v>
      </c>
      <c r="AD403" s="507">
        <f t="shared" si="198"/>
        <v>0</v>
      </c>
      <c r="AE403" s="507">
        <f t="shared" si="198"/>
        <v>0</v>
      </c>
      <c r="AF403" s="507">
        <f t="shared" si="198"/>
        <v>0</v>
      </c>
      <c r="AG403" s="507">
        <f t="shared" si="198"/>
        <v>0</v>
      </c>
      <c r="AH403" s="507">
        <f t="shared" si="198"/>
        <v>0</v>
      </c>
      <c r="AI403" s="516">
        <f t="shared" si="199"/>
        <v>21583838.496194109</v>
      </c>
      <c r="AJ403" s="516">
        <f t="shared" si="200"/>
        <v>21583838.496194109</v>
      </c>
      <c r="AK403" s="600">
        <f t="shared" si="201"/>
        <v>21583838.496194109</v>
      </c>
    </row>
    <row r="404" spans="1:37" x14ac:dyDescent="0.2">
      <c r="A404" s="505"/>
      <c r="B404" s="452" t="s">
        <v>341</v>
      </c>
      <c r="C404" s="465" t="s">
        <v>37</v>
      </c>
      <c r="D404" s="507">
        <f t="shared" si="197"/>
        <v>7654540.5072422978</v>
      </c>
      <c r="E404" s="507">
        <f t="shared" si="197"/>
        <v>0</v>
      </c>
      <c r="F404" s="507">
        <f t="shared" si="197"/>
        <v>0</v>
      </c>
      <c r="G404" s="507">
        <f t="shared" si="198"/>
        <v>0</v>
      </c>
      <c r="H404" s="507">
        <f t="shared" si="198"/>
        <v>0</v>
      </c>
      <c r="I404" s="507">
        <f t="shared" si="198"/>
        <v>0</v>
      </c>
      <c r="J404" s="507">
        <f t="shared" si="198"/>
        <v>0</v>
      </c>
      <c r="K404" s="507">
        <f t="shared" si="198"/>
        <v>0</v>
      </c>
      <c r="L404" s="507">
        <f t="shared" si="198"/>
        <v>0</v>
      </c>
      <c r="M404" s="507">
        <f t="shared" si="198"/>
        <v>0</v>
      </c>
      <c r="N404" s="507">
        <f t="shared" si="198"/>
        <v>0</v>
      </c>
      <c r="O404" s="507">
        <f t="shared" si="198"/>
        <v>0</v>
      </c>
      <c r="P404" s="507">
        <f t="shared" si="198"/>
        <v>0</v>
      </c>
      <c r="Q404" s="507">
        <f t="shared" si="198"/>
        <v>0</v>
      </c>
      <c r="R404" s="507">
        <f t="shared" si="198"/>
        <v>0</v>
      </c>
      <c r="S404" s="507">
        <f t="shared" si="198"/>
        <v>0</v>
      </c>
      <c r="T404" s="507">
        <f t="shared" si="198"/>
        <v>0</v>
      </c>
      <c r="U404" s="507">
        <f t="shared" si="198"/>
        <v>0</v>
      </c>
      <c r="V404" s="507">
        <f t="shared" si="198"/>
        <v>0</v>
      </c>
      <c r="W404" s="507">
        <f t="shared" si="198"/>
        <v>0</v>
      </c>
      <c r="X404" s="507">
        <f t="shared" si="198"/>
        <v>0</v>
      </c>
      <c r="Y404" s="507">
        <f t="shared" si="198"/>
        <v>0</v>
      </c>
      <c r="Z404" s="507">
        <f t="shared" si="198"/>
        <v>0</v>
      </c>
      <c r="AA404" s="507">
        <f t="shared" si="198"/>
        <v>0</v>
      </c>
      <c r="AB404" s="507">
        <f t="shared" si="198"/>
        <v>0</v>
      </c>
      <c r="AC404" s="507">
        <f t="shared" si="198"/>
        <v>0</v>
      </c>
      <c r="AD404" s="507">
        <f t="shared" si="198"/>
        <v>0</v>
      </c>
      <c r="AE404" s="507">
        <f t="shared" si="198"/>
        <v>0</v>
      </c>
      <c r="AF404" s="507">
        <f t="shared" si="198"/>
        <v>0</v>
      </c>
      <c r="AG404" s="507">
        <f t="shared" si="198"/>
        <v>0</v>
      </c>
      <c r="AH404" s="507">
        <f t="shared" si="198"/>
        <v>0</v>
      </c>
      <c r="AI404" s="516">
        <f t="shared" si="199"/>
        <v>7654540.5072422978</v>
      </c>
      <c r="AJ404" s="516">
        <f t="shared" si="200"/>
        <v>7654540.5072422978</v>
      </c>
      <c r="AK404" s="600">
        <f t="shared" si="201"/>
        <v>7654540.5072422978</v>
      </c>
    </row>
    <row r="405" spans="1:37" x14ac:dyDescent="0.2">
      <c r="B405" s="452" t="s">
        <v>342</v>
      </c>
      <c r="C405" s="465" t="s">
        <v>37</v>
      </c>
      <c r="D405" s="507">
        <f t="shared" si="197"/>
        <v>3553309.0164323859</v>
      </c>
      <c r="E405" s="507">
        <f t="shared" si="197"/>
        <v>0</v>
      </c>
      <c r="F405" s="507">
        <f t="shared" si="197"/>
        <v>0</v>
      </c>
      <c r="G405" s="507">
        <f t="shared" si="198"/>
        <v>0</v>
      </c>
      <c r="H405" s="507">
        <f t="shared" si="198"/>
        <v>0</v>
      </c>
      <c r="I405" s="507">
        <f t="shared" si="198"/>
        <v>0</v>
      </c>
      <c r="J405" s="507">
        <f t="shared" si="198"/>
        <v>0</v>
      </c>
      <c r="K405" s="507">
        <f t="shared" si="198"/>
        <v>0</v>
      </c>
      <c r="L405" s="507">
        <f t="shared" si="198"/>
        <v>0</v>
      </c>
      <c r="M405" s="507">
        <f t="shared" si="198"/>
        <v>0</v>
      </c>
      <c r="N405" s="507">
        <f t="shared" si="198"/>
        <v>0</v>
      </c>
      <c r="O405" s="507">
        <f t="shared" si="198"/>
        <v>0</v>
      </c>
      <c r="P405" s="507">
        <f t="shared" si="198"/>
        <v>0</v>
      </c>
      <c r="Q405" s="507">
        <f t="shared" si="198"/>
        <v>0</v>
      </c>
      <c r="R405" s="507">
        <f t="shared" si="198"/>
        <v>0</v>
      </c>
      <c r="S405" s="507">
        <f t="shared" si="198"/>
        <v>0</v>
      </c>
      <c r="T405" s="507">
        <f t="shared" si="198"/>
        <v>0</v>
      </c>
      <c r="U405" s="507">
        <f t="shared" si="198"/>
        <v>0</v>
      </c>
      <c r="V405" s="507">
        <f t="shared" si="198"/>
        <v>0</v>
      </c>
      <c r="W405" s="507">
        <f t="shared" si="198"/>
        <v>0</v>
      </c>
      <c r="X405" s="507">
        <f t="shared" si="198"/>
        <v>0</v>
      </c>
      <c r="Y405" s="507">
        <f t="shared" si="198"/>
        <v>0</v>
      </c>
      <c r="Z405" s="507">
        <f t="shared" si="198"/>
        <v>0</v>
      </c>
      <c r="AA405" s="507">
        <f t="shared" si="198"/>
        <v>0</v>
      </c>
      <c r="AB405" s="507">
        <f t="shared" si="198"/>
        <v>0</v>
      </c>
      <c r="AC405" s="507">
        <f t="shared" si="198"/>
        <v>0</v>
      </c>
      <c r="AD405" s="507">
        <f t="shared" si="198"/>
        <v>0</v>
      </c>
      <c r="AE405" s="507">
        <f t="shared" si="198"/>
        <v>0</v>
      </c>
      <c r="AF405" s="507">
        <f t="shared" si="198"/>
        <v>0</v>
      </c>
      <c r="AG405" s="507">
        <f t="shared" si="198"/>
        <v>0</v>
      </c>
      <c r="AH405" s="507">
        <f t="shared" si="198"/>
        <v>0</v>
      </c>
      <c r="AI405" s="516">
        <f t="shared" si="199"/>
        <v>3553309.0164323859</v>
      </c>
      <c r="AJ405" s="516">
        <f t="shared" si="200"/>
        <v>3553309.0164323859</v>
      </c>
      <c r="AK405" s="600">
        <f t="shared" si="201"/>
        <v>3553309.0164323859</v>
      </c>
    </row>
    <row r="406" spans="1:37" x14ac:dyDescent="0.2">
      <c r="B406" s="452" t="s">
        <v>344</v>
      </c>
      <c r="C406" s="465" t="s">
        <v>37</v>
      </c>
      <c r="D406" s="507">
        <f t="shared" si="197"/>
        <v>36226851.491044633</v>
      </c>
      <c r="E406" s="507">
        <f t="shared" si="197"/>
        <v>0</v>
      </c>
      <c r="F406" s="507">
        <f t="shared" si="197"/>
        <v>0</v>
      </c>
      <c r="G406" s="507">
        <f t="shared" si="198"/>
        <v>0</v>
      </c>
      <c r="H406" s="507">
        <f t="shared" si="198"/>
        <v>0</v>
      </c>
      <c r="I406" s="507">
        <f t="shared" si="198"/>
        <v>0</v>
      </c>
      <c r="J406" s="507">
        <f t="shared" si="198"/>
        <v>0</v>
      </c>
      <c r="K406" s="507">
        <f t="shared" si="198"/>
        <v>0</v>
      </c>
      <c r="L406" s="507">
        <f t="shared" si="198"/>
        <v>0</v>
      </c>
      <c r="M406" s="507">
        <f t="shared" si="198"/>
        <v>0</v>
      </c>
      <c r="N406" s="507">
        <f t="shared" si="198"/>
        <v>0</v>
      </c>
      <c r="O406" s="507">
        <f t="shared" si="198"/>
        <v>0</v>
      </c>
      <c r="P406" s="507">
        <f t="shared" si="198"/>
        <v>0</v>
      </c>
      <c r="Q406" s="507">
        <f t="shared" si="198"/>
        <v>0</v>
      </c>
      <c r="R406" s="507">
        <f t="shared" si="198"/>
        <v>0</v>
      </c>
      <c r="S406" s="507">
        <f t="shared" si="198"/>
        <v>0</v>
      </c>
      <c r="T406" s="507">
        <f t="shared" si="198"/>
        <v>0</v>
      </c>
      <c r="U406" s="507">
        <f t="shared" si="198"/>
        <v>0</v>
      </c>
      <c r="V406" s="507">
        <f t="shared" si="198"/>
        <v>0</v>
      </c>
      <c r="W406" s="507">
        <f t="shared" si="198"/>
        <v>0</v>
      </c>
      <c r="X406" s="507">
        <f t="shared" si="198"/>
        <v>0</v>
      </c>
      <c r="Y406" s="507">
        <f t="shared" si="198"/>
        <v>0</v>
      </c>
      <c r="Z406" s="507">
        <f t="shared" si="198"/>
        <v>0</v>
      </c>
      <c r="AA406" s="507">
        <f t="shared" si="198"/>
        <v>0</v>
      </c>
      <c r="AB406" s="507">
        <f t="shared" si="198"/>
        <v>0</v>
      </c>
      <c r="AC406" s="507">
        <f t="shared" si="198"/>
        <v>0</v>
      </c>
      <c r="AD406" s="507">
        <f t="shared" si="198"/>
        <v>0</v>
      </c>
      <c r="AE406" s="507">
        <f t="shared" si="198"/>
        <v>0</v>
      </c>
      <c r="AF406" s="507">
        <f t="shared" si="198"/>
        <v>0</v>
      </c>
      <c r="AG406" s="507">
        <f t="shared" si="198"/>
        <v>0</v>
      </c>
      <c r="AH406" s="507">
        <f t="shared" si="198"/>
        <v>0</v>
      </c>
      <c r="AI406" s="516">
        <f t="shared" si="199"/>
        <v>36226851.491044633</v>
      </c>
      <c r="AJ406" s="516">
        <f t="shared" si="200"/>
        <v>36226851.491044633</v>
      </c>
      <c r="AK406" s="600">
        <f t="shared" si="201"/>
        <v>36226851.491044633</v>
      </c>
    </row>
    <row r="407" spans="1:37" x14ac:dyDescent="0.2">
      <c r="B407" s="452" t="s">
        <v>345</v>
      </c>
      <c r="C407" s="465" t="s">
        <v>37</v>
      </c>
      <c r="D407" s="507">
        <f t="shared" si="197"/>
        <v>33777257.353709415</v>
      </c>
      <c r="E407" s="507">
        <f t="shared" si="197"/>
        <v>0</v>
      </c>
      <c r="F407" s="507">
        <f t="shared" si="197"/>
        <v>0</v>
      </c>
      <c r="G407" s="507">
        <f t="shared" si="198"/>
        <v>0</v>
      </c>
      <c r="H407" s="507">
        <f t="shared" si="198"/>
        <v>0</v>
      </c>
      <c r="I407" s="507">
        <f t="shared" si="198"/>
        <v>0</v>
      </c>
      <c r="J407" s="507">
        <f t="shared" si="198"/>
        <v>0</v>
      </c>
      <c r="K407" s="507">
        <f t="shared" si="198"/>
        <v>0</v>
      </c>
      <c r="L407" s="507">
        <f t="shared" si="198"/>
        <v>0</v>
      </c>
      <c r="M407" s="507">
        <f t="shared" si="198"/>
        <v>0</v>
      </c>
      <c r="N407" s="507">
        <f t="shared" si="198"/>
        <v>0</v>
      </c>
      <c r="O407" s="507">
        <f t="shared" si="198"/>
        <v>0</v>
      </c>
      <c r="P407" s="507">
        <f t="shared" si="198"/>
        <v>0</v>
      </c>
      <c r="Q407" s="507">
        <f t="shared" si="198"/>
        <v>0</v>
      </c>
      <c r="R407" s="507">
        <f t="shared" si="198"/>
        <v>0</v>
      </c>
      <c r="S407" s="507">
        <f t="shared" si="198"/>
        <v>0</v>
      </c>
      <c r="T407" s="507">
        <f t="shared" si="198"/>
        <v>0</v>
      </c>
      <c r="U407" s="507">
        <f t="shared" si="198"/>
        <v>0</v>
      </c>
      <c r="V407" s="507">
        <f t="shared" si="198"/>
        <v>0</v>
      </c>
      <c r="W407" s="507">
        <f t="shared" ref="G407:AH409" si="202">SUMIF($B$46:$B$136,$B407,W$46:W$136)</f>
        <v>0</v>
      </c>
      <c r="X407" s="507">
        <f t="shared" si="202"/>
        <v>0</v>
      </c>
      <c r="Y407" s="507">
        <f t="shared" si="202"/>
        <v>0</v>
      </c>
      <c r="Z407" s="507">
        <f t="shared" si="202"/>
        <v>0</v>
      </c>
      <c r="AA407" s="507">
        <f t="shared" si="202"/>
        <v>0</v>
      </c>
      <c r="AB407" s="507">
        <f t="shared" si="202"/>
        <v>0</v>
      </c>
      <c r="AC407" s="507">
        <f t="shared" si="202"/>
        <v>0</v>
      </c>
      <c r="AD407" s="507">
        <f t="shared" si="202"/>
        <v>0</v>
      </c>
      <c r="AE407" s="507">
        <f t="shared" si="202"/>
        <v>0</v>
      </c>
      <c r="AF407" s="507">
        <f t="shared" si="202"/>
        <v>0</v>
      </c>
      <c r="AG407" s="507">
        <f t="shared" si="202"/>
        <v>0</v>
      </c>
      <c r="AH407" s="507">
        <f t="shared" si="202"/>
        <v>0</v>
      </c>
      <c r="AI407" s="516">
        <f t="shared" si="199"/>
        <v>33777257.353709415</v>
      </c>
      <c r="AJ407" s="516">
        <f t="shared" si="200"/>
        <v>33777257.353709415</v>
      </c>
      <c r="AK407" s="600">
        <f t="shared" si="201"/>
        <v>33777257.353709415</v>
      </c>
    </row>
    <row r="408" spans="1:37" x14ac:dyDescent="0.2">
      <c r="B408" s="452" t="s">
        <v>346</v>
      </c>
      <c r="C408" s="465" t="s">
        <v>37</v>
      </c>
      <c r="D408" s="507">
        <f t="shared" si="197"/>
        <v>7642863.4268064853</v>
      </c>
      <c r="E408" s="507">
        <f t="shared" si="197"/>
        <v>0</v>
      </c>
      <c r="F408" s="507">
        <f t="shared" si="197"/>
        <v>0</v>
      </c>
      <c r="G408" s="507">
        <f t="shared" si="202"/>
        <v>0</v>
      </c>
      <c r="H408" s="507">
        <f t="shared" si="202"/>
        <v>0</v>
      </c>
      <c r="I408" s="507">
        <f t="shared" si="202"/>
        <v>0</v>
      </c>
      <c r="J408" s="507">
        <f t="shared" si="202"/>
        <v>0</v>
      </c>
      <c r="K408" s="507">
        <f t="shared" si="202"/>
        <v>0</v>
      </c>
      <c r="L408" s="507">
        <f t="shared" si="202"/>
        <v>0</v>
      </c>
      <c r="M408" s="507">
        <f t="shared" si="202"/>
        <v>0</v>
      </c>
      <c r="N408" s="507">
        <f t="shared" si="202"/>
        <v>0</v>
      </c>
      <c r="O408" s="507">
        <f t="shared" si="202"/>
        <v>0</v>
      </c>
      <c r="P408" s="507">
        <f t="shared" si="202"/>
        <v>0</v>
      </c>
      <c r="Q408" s="507">
        <f t="shared" si="202"/>
        <v>0</v>
      </c>
      <c r="R408" s="507">
        <f t="shared" si="202"/>
        <v>0</v>
      </c>
      <c r="S408" s="507">
        <f t="shared" si="202"/>
        <v>0</v>
      </c>
      <c r="T408" s="507">
        <f t="shared" si="202"/>
        <v>0</v>
      </c>
      <c r="U408" s="507">
        <f t="shared" si="202"/>
        <v>0</v>
      </c>
      <c r="V408" s="507">
        <f t="shared" si="202"/>
        <v>0</v>
      </c>
      <c r="W408" s="507">
        <f t="shared" si="202"/>
        <v>0</v>
      </c>
      <c r="X408" s="507">
        <f t="shared" si="202"/>
        <v>0</v>
      </c>
      <c r="Y408" s="507">
        <f t="shared" si="202"/>
        <v>0</v>
      </c>
      <c r="Z408" s="507">
        <f t="shared" si="202"/>
        <v>0</v>
      </c>
      <c r="AA408" s="507">
        <f t="shared" si="202"/>
        <v>0</v>
      </c>
      <c r="AB408" s="507">
        <f t="shared" si="202"/>
        <v>0</v>
      </c>
      <c r="AC408" s="507">
        <f t="shared" si="202"/>
        <v>0</v>
      </c>
      <c r="AD408" s="507">
        <f t="shared" si="202"/>
        <v>0</v>
      </c>
      <c r="AE408" s="507">
        <f t="shared" si="202"/>
        <v>0</v>
      </c>
      <c r="AF408" s="507">
        <f t="shared" si="202"/>
        <v>0</v>
      </c>
      <c r="AG408" s="507">
        <f t="shared" si="202"/>
        <v>0</v>
      </c>
      <c r="AH408" s="507">
        <f t="shared" si="202"/>
        <v>0</v>
      </c>
      <c r="AI408" s="516">
        <f t="shared" si="199"/>
        <v>7642863.4268064853</v>
      </c>
      <c r="AJ408" s="516">
        <f t="shared" si="200"/>
        <v>7642863.4268064853</v>
      </c>
      <c r="AK408" s="600">
        <f t="shared" si="201"/>
        <v>7642863.4268064853</v>
      </c>
    </row>
    <row r="409" spans="1:37" s="478" customFormat="1" x14ac:dyDescent="0.2">
      <c r="B409" s="452" t="s">
        <v>347</v>
      </c>
      <c r="C409" s="465" t="s">
        <v>37</v>
      </c>
      <c r="D409" s="507">
        <f t="shared" si="197"/>
        <v>2653093.4606135124</v>
      </c>
      <c r="E409" s="507">
        <f t="shared" si="197"/>
        <v>0</v>
      </c>
      <c r="F409" s="507">
        <f t="shared" si="197"/>
        <v>0</v>
      </c>
      <c r="G409" s="507">
        <f t="shared" si="202"/>
        <v>0</v>
      </c>
      <c r="H409" s="507">
        <f t="shared" si="202"/>
        <v>0</v>
      </c>
      <c r="I409" s="507">
        <f t="shared" si="202"/>
        <v>0</v>
      </c>
      <c r="J409" s="507">
        <f t="shared" si="202"/>
        <v>0</v>
      </c>
      <c r="K409" s="507">
        <f t="shared" si="202"/>
        <v>0</v>
      </c>
      <c r="L409" s="507">
        <f t="shared" si="202"/>
        <v>0</v>
      </c>
      <c r="M409" s="507">
        <f t="shared" si="202"/>
        <v>0</v>
      </c>
      <c r="N409" s="507">
        <f t="shared" si="202"/>
        <v>0</v>
      </c>
      <c r="O409" s="507">
        <f t="shared" si="202"/>
        <v>0</v>
      </c>
      <c r="P409" s="507">
        <f t="shared" si="202"/>
        <v>0</v>
      </c>
      <c r="Q409" s="507">
        <f t="shared" si="202"/>
        <v>0</v>
      </c>
      <c r="R409" s="507">
        <f t="shared" si="202"/>
        <v>0</v>
      </c>
      <c r="S409" s="507">
        <f t="shared" si="202"/>
        <v>0</v>
      </c>
      <c r="T409" s="507">
        <f t="shared" si="202"/>
        <v>0</v>
      </c>
      <c r="U409" s="507">
        <f t="shared" si="202"/>
        <v>0</v>
      </c>
      <c r="V409" s="507">
        <f t="shared" si="202"/>
        <v>0</v>
      </c>
      <c r="W409" s="507">
        <f t="shared" si="202"/>
        <v>0</v>
      </c>
      <c r="X409" s="507">
        <f t="shared" si="202"/>
        <v>0</v>
      </c>
      <c r="Y409" s="507">
        <f t="shared" si="202"/>
        <v>0</v>
      </c>
      <c r="Z409" s="507">
        <f t="shared" si="202"/>
        <v>0</v>
      </c>
      <c r="AA409" s="507">
        <f t="shared" si="202"/>
        <v>0</v>
      </c>
      <c r="AB409" s="507">
        <f t="shared" si="202"/>
        <v>0</v>
      </c>
      <c r="AC409" s="507">
        <f t="shared" si="202"/>
        <v>0</v>
      </c>
      <c r="AD409" s="507">
        <f t="shared" si="202"/>
        <v>0</v>
      </c>
      <c r="AE409" s="507">
        <f t="shared" si="202"/>
        <v>0</v>
      </c>
      <c r="AF409" s="507">
        <f t="shared" si="202"/>
        <v>0</v>
      </c>
      <c r="AG409" s="507">
        <f t="shared" si="202"/>
        <v>0</v>
      </c>
      <c r="AH409" s="507">
        <f t="shared" si="202"/>
        <v>0</v>
      </c>
      <c r="AI409" s="516">
        <f t="shared" si="199"/>
        <v>2653093.4606135124</v>
      </c>
      <c r="AJ409" s="516">
        <f t="shared" si="200"/>
        <v>2653093.4606135124</v>
      </c>
      <c r="AK409" s="600">
        <f t="shared" si="201"/>
        <v>2653093.4606135124</v>
      </c>
    </row>
    <row r="410" spans="1:37" x14ac:dyDescent="0.2">
      <c r="A410" s="1256" t="s">
        <v>1049</v>
      </c>
      <c r="B410" s="452"/>
      <c r="C410" s="465" t="s">
        <v>37</v>
      </c>
      <c r="D410" s="507">
        <f t="shared" ref="D410:S411" si="203">SUMIF($A$46:$A$136,$A410,D$46:D$136)</f>
        <v>167768444.28073996</v>
      </c>
      <c r="E410" s="507">
        <f t="shared" si="203"/>
        <v>0</v>
      </c>
      <c r="F410" s="507">
        <f t="shared" si="203"/>
        <v>0</v>
      </c>
      <c r="G410" s="507">
        <f t="shared" si="203"/>
        <v>0</v>
      </c>
      <c r="H410" s="507">
        <f t="shared" si="203"/>
        <v>0</v>
      </c>
      <c r="I410" s="507">
        <f t="shared" si="203"/>
        <v>0</v>
      </c>
      <c r="J410" s="507">
        <f t="shared" si="203"/>
        <v>0</v>
      </c>
      <c r="K410" s="507">
        <f t="shared" si="203"/>
        <v>0</v>
      </c>
      <c r="L410" s="507">
        <f t="shared" si="203"/>
        <v>0</v>
      </c>
      <c r="M410" s="507">
        <f t="shared" si="203"/>
        <v>0</v>
      </c>
      <c r="N410" s="507">
        <f t="shared" si="203"/>
        <v>0</v>
      </c>
      <c r="O410" s="507">
        <f t="shared" si="203"/>
        <v>0</v>
      </c>
      <c r="P410" s="507">
        <f t="shared" si="203"/>
        <v>0</v>
      </c>
      <c r="Q410" s="507">
        <f t="shared" si="203"/>
        <v>0</v>
      </c>
      <c r="R410" s="507">
        <f t="shared" si="203"/>
        <v>0</v>
      </c>
      <c r="S410" s="507">
        <f t="shared" si="203"/>
        <v>0</v>
      </c>
      <c r="T410" s="507">
        <f t="shared" ref="G410:AH411" si="204">SUMIF($A$46:$A$136,$A410,T$46:T$136)</f>
        <v>0</v>
      </c>
      <c r="U410" s="507">
        <f t="shared" si="204"/>
        <v>0</v>
      </c>
      <c r="V410" s="507">
        <f t="shared" si="204"/>
        <v>0</v>
      </c>
      <c r="W410" s="507">
        <f t="shared" si="204"/>
        <v>0</v>
      </c>
      <c r="X410" s="507">
        <f t="shared" si="204"/>
        <v>0</v>
      </c>
      <c r="Y410" s="507">
        <f t="shared" si="204"/>
        <v>0</v>
      </c>
      <c r="Z410" s="507">
        <f t="shared" si="204"/>
        <v>0</v>
      </c>
      <c r="AA410" s="507">
        <f t="shared" si="204"/>
        <v>0</v>
      </c>
      <c r="AB410" s="507">
        <f t="shared" si="204"/>
        <v>0</v>
      </c>
      <c r="AC410" s="507">
        <f t="shared" si="204"/>
        <v>0</v>
      </c>
      <c r="AD410" s="507">
        <f t="shared" si="204"/>
        <v>0</v>
      </c>
      <c r="AE410" s="507">
        <f t="shared" si="204"/>
        <v>0</v>
      </c>
      <c r="AF410" s="507">
        <f t="shared" si="204"/>
        <v>0</v>
      </c>
      <c r="AG410" s="507">
        <f t="shared" si="204"/>
        <v>0</v>
      </c>
      <c r="AH410" s="507">
        <f t="shared" si="204"/>
        <v>0</v>
      </c>
      <c r="AI410" s="516">
        <f t="shared" si="199"/>
        <v>167768444.28073996</v>
      </c>
      <c r="AJ410" s="516">
        <f t="shared" si="200"/>
        <v>167768444.28073996</v>
      </c>
      <c r="AK410" s="600">
        <f t="shared" si="201"/>
        <v>167768444.28073996</v>
      </c>
    </row>
    <row r="411" spans="1:37" x14ac:dyDescent="0.2">
      <c r="A411" s="1257" t="s">
        <v>1051</v>
      </c>
      <c r="B411" s="1258"/>
      <c r="C411" s="1259" t="s">
        <v>37</v>
      </c>
      <c r="D411" s="1254">
        <f t="shared" si="203"/>
        <v>1552290311.5565577</v>
      </c>
      <c r="E411" s="1254">
        <f t="shared" si="203"/>
        <v>0</v>
      </c>
      <c r="F411" s="1254">
        <f t="shared" si="203"/>
        <v>0</v>
      </c>
      <c r="G411" s="1254">
        <f t="shared" si="204"/>
        <v>0</v>
      </c>
      <c r="H411" s="1254">
        <f t="shared" si="204"/>
        <v>0</v>
      </c>
      <c r="I411" s="1254">
        <f t="shared" si="204"/>
        <v>0</v>
      </c>
      <c r="J411" s="1254">
        <f t="shared" si="204"/>
        <v>0</v>
      </c>
      <c r="K411" s="1254">
        <f t="shared" si="204"/>
        <v>0</v>
      </c>
      <c r="L411" s="1254">
        <f t="shared" si="204"/>
        <v>0</v>
      </c>
      <c r="M411" s="1254">
        <f t="shared" si="204"/>
        <v>0</v>
      </c>
      <c r="N411" s="1254">
        <f t="shared" si="204"/>
        <v>0</v>
      </c>
      <c r="O411" s="1254">
        <f t="shared" si="204"/>
        <v>0</v>
      </c>
      <c r="P411" s="1254">
        <f t="shared" si="204"/>
        <v>0</v>
      </c>
      <c r="Q411" s="1254">
        <f t="shared" si="204"/>
        <v>0</v>
      </c>
      <c r="R411" s="1254">
        <f t="shared" si="204"/>
        <v>0</v>
      </c>
      <c r="S411" s="1254">
        <f t="shared" si="204"/>
        <v>0</v>
      </c>
      <c r="T411" s="1254">
        <f t="shared" si="204"/>
        <v>0</v>
      </c>
      <c r="U411" s="1254">
        <f t="shared" si="204"/>
        <v>0</v>
      </c>
      <c r="V411" s="1254">
        <f t="shared" si="204"/>
        <v>0</v>
      </c>
      <c r="W411" s="1254">
        <f t="shared" si="204"/>
        <v>0</v>
      </c>
      <c r="X411" s="1254">
        <f t="shared" si="204"/>
        <v>0</v>
      </c>
      <c r="Y411" s="1254">
        <f t="shared" si="204"/>
        <v>0</v>
      </c>
      <c r="Z411" s="1254">
        <f t="shared" si="204"/>
        <v>0</v>
      </c>
      <c r="AA411" s="1254">
        <f t="shared" si="204"/>
        <v>0</v>
      </c>
      <c r="AB411" s="1254">
        <f t="shared" si="204"/>
        <v>0</v>
      </c>
      <c r="AC411" s="1254">
        <f t="shared" si="204"/>
        <v>0</v>
      </c>
      <c r="AD411" s="1254">
        <f t="shared" si="204"/>
        <v>0</v>
      </c>
      <c r="AE411" s="1254">
        <f t="shared" si="204"/>
        <v>0</v>
      </c>
      <c r="AF411" s="1254">
        <f t="shared" si="204"/>
        <v>0</v>
      </c>
      <c r="AG411" s="1254">
        <f t="shared" si="204"/>
        <v>0</v>
      </c>
      <c r="AH411" s="1254">
        <f t="shared" si="204"/>
        <v>0</v>
      </c>
      <c r="AI411" s="515">
        <f t="shared" si="199"/>
        <v>1552290311.5565577</v>
      </c>
      <c r="AJ411" s="515">
        <f t="shared" si="200"/>
        <v>1552290311.5565577</v>
      </c>
      <c r="AK411" s="515">
        <f t="shared" si="201"/>
        <v>1552290311.5565577</v>
      </c>
    </row>
    <row r="412" spans="1:37" x14ac:dyDescent="0.2">
      <c r="A412" s="1251" t="s">
        <v>284</v>
      </c>
      <c r="B412" s="1258"/>
      <c r="C412" s="1259" t="s">
        <v>37</v>
      </c>
      <c r="D412" s="1254">
        <f t="shared" ref="D412" si="205">SUM(D411,D410)</f>
        <v>1720058755.8372977</v>
      </c>
      <c r="E412" s="1254">
        <f>SUM(E411,E410)</f>
        <v>0</v>
      </c>
      <c r="F412" s="1254">
        <f t="shared" ref="F412:AK412" si="206">SUM(F411,F410)</f>
        <v>0</v>
      </c>
      <c r="G412" s="1254">
        <f t="shared" si="206"/>
        <v>0</v>
      </c>
      <c r="H412" s="1254">
        <f t="shared" si="206"/>
        <v>0</v>
      </c>
      <c r="I412" s="1254">
        <f t="shared" si="206"/>
        <v>0</v>
      </c>
      <c r="J412" s="1254">
        <f t="shared" si="206"/>
        <v>0</v>
      </c>
      <c r="K412" s="1254">
        <f t="shared" si="206"/>
        <v>0</v>
      </c>
      <c r="L412" s="1254">
        <f t="shared" si="206"/>
        <v>0</v>
      </c>
      <c r="M412" s="1254">
        <f t="shared" si="206"/>
        <v>0</v>
      </c>
      <c r="N412" s="1254">
        <f t="shared" si="206"/>
        <v>0</v>
      </c>
      <c r="O412" s="1254">
        <f t="shared" si="206"/>
        <v>0</v>
      </c>
      <c r="P412" s="1254">
        <f t="shared" si="206"/>
        <v>0</v>
      </c>
      <c r="Q412" s="1254">
        <f t="shared" si="206"/>
        <v>0</v>
      </c>
      <c r="R412" s="1254">
        <f t="shared" si="206"/>
        <v>0</v>
      </c>
      <c r="S412" s="1254">
        <f t="shared" si="206"/>
        <v>0</v>
      </c>
      <c r="T412" s="1254">
        <f t="shared" si="206"/>
        <v>0</v>
      </c>
      <c r="U412" s="1254">
        <f t="shared" si="206"/>
        <v>0</v>
      </c>
      <c r="V412" s="1254">
        <f t="shared" si="206"/>
        <v>0</v>
      </c>
      <c r="W412" s="1254">
        <f t="shared" si="206"/>
        <v>0</v>
      </c>
      <c r="X412" s="1254">
        <f t="shared" si="206"/>
        <v>0</v>
      </c>
      <c r="Y412" s="1254">
        <f t="shared" si="206"/>
        <v>0</v>
      </c>
      <c r="Z412" s="1254">
        <f t="shared" si="206"/>
        <v>0</v>
      </c>
      <c r="AA412" s="1254">
        <f t="shared" si="206"/>
        <v>0</v>
      </c>
      <c r="AB412" s="1254">
        <f t="shared" si="206"/>
        <v>0</v>
      </c>
      <c r="AC412" s="1254">
        <f t="shared" si="206"/>
        <v>0</v>
      </c>
      <c r="AD412" s="1254">
        <f t="shared" si="206"/>
        <v>0</v>
      </c>
      <c r="AE412" s="1254">
        <f t="shared" si="206"/>
        <v>0</v>
      </c>
      <c r="AF412" s="1254">
        <f t="shared" si="206"/>
        <v>0</v>
      </c>
      <c r="AG412" s="1254">
        <f t="shared" si="206"/>
        <v>0</v>
      </c>
      <c r="AH412" s="1254">
        <f t="shared" si="206"/>
        <v>0</v>
      </c>
      <c r="AI412" s="1279">
        <f t="shared" si="206"/>
        <v>1720058755.8372977</v>
      </c>
      <c r="AJ412" s="1279">
        <f t="shared" si="206"/>
        <v>1720058755.8372977</v>
      </c>
      <c r="AK412" s="1279">
        <f t="shared" si="206"/>
        <v>1720058755.8372977</v>
      </c>
    </row>
    <row r="413" spans="1:37" x14ac:dyDescent="0.2">
      <c r="A413" s="1266" t="s">
        <v>285</v>
      </c>
      <c r="B413" s="1267"/>
      <c r="C413" s="1268"/>
      <c r="D413" s="1269"/>
      <c r="E413" s="1269"/>
      <c r="F413" s="1269"/>
      <c r="G413" s="1269"/>
      <c r="H413" s="1269"/>
      <c r="I413" s="1269"/>
      <c r="J413" s="1269"/>
      <c r="K413" s="1269"/>
      <c r="L413" s="1269"/>
      <c r="M413" s="1269"/>
      <c r="N413" s="1269"/>
      <c r="O413" s="1269"/>
      <c r="P413" s="1269"/>
      <c r="Q413" s="1269"/>
      <c r="R413" s="1269"/>
      <c r="S413" s="1269"/>
      <c r="T413" s="1269"/>
      <c r="U413" s="1269"/>
      <c r="V413" s="1269"/>
      <c r="W413" s="1269"/>
      <c r="X413" s="1269"/>
      <c r="Y413" s="1269"/>
      <c r="Z413" s="1269"/>
      <c r="AA413" s="1269"/>
      <c r="AB413" s="1269"/>
      <c r="AC413" s="1269"/>
      <c r="AD413" s="1269"/>
      <c r="AE413" s="1269"/>
      <c r="AF413" s="1269"/>
      <c r="AG413" s="1269"/>
      <c r="AH413" s="1269"/>
      <c r="AI413" s="1276"/>
      <c r="AJ413" s="1276"/>
      <c r="AK413" s="1276"/>
    </row>
    <row r="414" spans="1:37" x14ac:dyDescent="0.2">
      <c r="A414" s="1266" t="s">
        <v>1055</v>
      </c>
      <c r="B414" s="1267"/>
      <c r="C414" s="1268" t="s">
        <v>37</v>
      </c>
      <c r="D414" s="1269">
        <f>D31</f>
        <v>0</v>
      </c>
      <c r="E414" s="1269">
        <f t="shared" ref="E414:F414" si="207">E31</f>
        <v>-231000000</v>
      </c>
      <c r="F414" s="1269">
        <f t="shared" si="207"/>
        <v>-231000000</v>
      </c>
      <c r="G414" s="1269">
        <f t="shared" ref="G414:AK414" si="208">G31</f>
        <v>-231000000</v>
      </c>
      <c r="H414" s="1269">
        <f t="shared" si="208"/>
        <v>-231000000</v>
      </c>
      <c r="I414" s="1269">
        <f t="shared" si="208"/>
        <v>-231000000</v>
      </c>
      <c r="J414" s="1269">
        <f t="shared" si="208"/>
        <v>-231000000</v>
      </c>
      <c r="K414" s="1269">
        <f t="shared" si="208"/>
        <v>-231000000</v>
      </c>
      <c r="L414" s="1269">
        <f t="shared" si="208"/>
        <v>-231000000</v>
      </c>
      <c r="M414" s="1269">
        <f t="shared" si="208"/>
        <v>-231000000</v>
      </c>
      <c r="N414" s="1269">
        <f t="shared" si="208"/>
        <v>-231000000</v>
      </c>
      <c r="O414" s="1269">
        <f t="shared" si="208"/>
        <v>-231000000</v>
      </c>
      <c r="P414" s="1269">
        <f t="shared" si="208"/>
        <v>-231000000</v>
      </c>
      <c r="Q414" s="1269">
        <f t="shared" si="208"/>
        <v>-231000000</v>
      </c>
      <c r="R414" s="1269">
        <f t="shared" si="208"/>
        <v>-231000000</v>
      </c>
      <c r="S414" s="1269">
        <f t="shared" si="208"/>
        <v>-231000000</v>
      </c>
      <c r="T414" s="1269">
        <f t="shared" si="208"/>
        <v>-231000000</v>
      </c>
      <c r="U414" s="1269">
        <f t="shared" si="208"/>
        <v>-231000000</v>
      </c>
      <c r="V414" s="1269">
        <f t="shared" si="208"/>
        <v>-231000000</v>
      </c>
      <c r="W414" s="1269">
        <f t="shared" si="208"/>
        <v>-231000000</v>
      </c>
      <c r="X414" s="1269">
        <f t="shared" si="208"/>
        <v>-231000000</v>
      </c>
      <c r="Y414" s="1269">
        <f t="shared" si="208"/>
        <v>-231000000</v>
      </c>
      <c r="Z414" s="1269">
        <f t="shared" si="208"/>
        <v>-231000000</v>
      </c>
      <c r="AA414" s="1269">
        <f t="shared" si="208"/>
        <v>-231000000</v>
      </c>
      <c r="AB414" s="1269">
        <f t="shared" si="208"/>
        <v>-231000000</v>
      </c>
      <c r="AC414" s="1269">
        <f t="shared" si="208"/>
        <v>-231000000</v>
      </c>
      <c r="AD414" s="1269">
        <f t="shared" si="208"/>
        <v>-231000000</v>
      </c>
      <c r="AE414" s="1269">
        <f t="shared" si="208"/>
        <v>-231000000</v>
      </c>
      <c r="AF414" s="1269">
        <f t="shared" si="208"/>
        <v>-231000000</v>
      </c>
      <c r="AG414" s="1269">
        <f t="shared" si="208"/>
        <v>-231000000</v>
      </c>
      <c r="AH414" s="1269">
        <f t="shared" si="208"/>
        <v>-231000000</v>
      </c>
      <c r="AI414" s="1276">
        <f t="shared" si="208"/>
        <v>-2310000000</v>
      </c>
      <c r="AJ414" s="1276">
        <f t="shared" si="208"/>
        <v>-4620000000</v>
      </c>
      <c r="AK414" s="1277">
        <f t="shared" si="208"/>
        <v>-6930000000</v>
      </c>
    </row>
    <row r="415" spans="1:37" x14ac:dyDescent="0.2">
      <c r="A415" s="1270" t="s">
        <v>283</v>
      </c>
      <c r="B415" s="1266"/>
      <c r="C415" s="1268" t="s">
        <v>37</v>
      </c>
      <c r="D415" s="1269">
        <f>SUMIF($B$138:$B$182,"売上（税別）",D$138:D$182)</f>
        <v>0</v>
      </c>
      <c r="E415" s="1269">
        <f t="shared" ref="E415:AK415" si="209">SUMIF($B$138:$B$182,"売上（税別）",E$138:E$182)</f>
        <v>0</v>
      </c>
      <c r="F415" s="1269">
        <f t="shared" si="209"/>
        <v>0</v>
      </c>
      <c r="G415" s="1269">
        <f t="shared" si="209"/>
        <v>0</v>
      </c>
      <c r="H415" s="1269">
        <f t="shared" si="209"/>
        <v>0</v>
      </c>
      <c r="I415" s="1269">
        <f t="shared" si="209"/>
        <v>0</v>
      </c>
      <c r="J415" s="1269">
        <f t="shared" si="209"/>
        <v>0</v>
      </c>
      <c r="K415" s="1269">
        <f t="shared" si="209"/>
        <v>0</v>
      </c>
      <c r="L415" s="1269">
        <f t="shared" si="209"/>
        <v>0</v>
      </c>
      <c r="M415" s="1269">
        <f t="shared" si="209"/>
        <v>0</v>
      </c>
      <c r="N415" s="1269">
        <f t="shared" si="209"/>
        <v>0</v>
      </c>
      <c r="O415" s="1269">
        <f t="shared" si="209"/>
        <v>0</v>
      </c>
      <c r="P415" s="1269">
        <f t="shared" si="209"/>
        <v>0</v>
      </c>
      <c r="Q415" s="1269">
        <f t="shared" si="209"/>
        <v>0</v>
      </c>
      <c r="R415" s="1269">
        <f t="shared" si="209"/>
        <v>0</v>
      </c>
      <c r="S415" s="1269">
        <f t="shared" si="209"/>
        <v>0</v>
      </c>
      <c r="T415" s="1269">
        <f t="shared" si="209"/>
        <v>0</v>
      </c>
      <c r="U415" s="1269">
        <f t="shared" si="209"/>
        <v>0</v>
      </c>
      <c r="V415" s="1269">
        <f t="shared" si="209"/>
        <v>0</v>
      </c>
      <c r="W415" s="1269">
        <f t="shared" si="209"/>
        <v>0</v>
      </c>
      <c r="X415" s="1269">
        <f t="shared" si="209"/>
        <v>0</v>
      </c>
      <c r="Y415" s="1269">
        <f t="shared" si="209"/>
        <v>0</v>
      </c>
      <c r="Z415" s="1269">
        <f t="shared" si="209"/>
        <v>0</v>
      </c>
      <c r="AA415" s="1269">
        <f t="shared" si="209"/>
        <v>0</v>
      </c>
      <c r="AB415" s="1269">
        <f t="shared" si="209"/>
        <v>0</v>
      </c>
      <c r="AC415" s="1269">
        <f t="shared" si="209"/>
        <v>0</v>
      </c>
      <c r="AD415" s="1269">
        <f t="shared" si="209"/>
        <v>0</v>
      </c>
      <c r="AE415" s="1269">
        <f t="shared" si="209"/>
        <v>0</v>
      </c>
      <c r="AF415" s="1269">
        <f t="shared" si="209"/>
        <v>0</v>
      </c>
      <c r="AG415" s="1269">
        <f t="shared" si="209"/>
        <v>0</v>
      </c>
      <c r="AH415" s="1269">
        <f t="shared" si="209"/>
        <v>0</v>
      </c>
      <c r="AI415" s="1276">
        <f t="shared" si="209"/>
        <v>0</v>
      </c>
      <c r="AJ415" s="1276">
        <f t="shared" si="209"/>
        <v>0</v>
      </c>
      <c r="AK415" s="1278">
        <f t="shared" si="209"/>
        <v>0</v>
      </c>
    </row>
    <row r="416" spans="1:37" x14ac:dyDescent="0.2">
      <c r="A416" s="1271"/>
      <c r="B416" s="1267" t="s">
        <v>1048</v>
      </c>
      <c r="C416" s="1268" t="s">
        <v>37</v>
      </c>
      <c r="D416" s="507">
        <f t="shared" ref="D416:S427" si="210">SUMIF($B$138:$B$182,$B416,D$138:D$182)</f>
        <v>0</v>
      </c>
      <c r="E416" s="507">
        <f t="shared" si="210"/>
        <v>0</v>
      </c>
      <c r="F416" s="507">
        <f t="shared" si="210"/>
        <v>0</v>
      </c>
      <c r="G416" s="507">
        <f t="shared" si="210"/>
        <v>0</v>
      </c>
      <c r="H416" s="507">
        <f t="shared" si="210"/>
        <v>0</v>
      </c>
      <c r="I416" s="507">
        <f t="shared" si="210"/>
        <v>0</v>
      </c>
      <c r="J416" s="507">
        <f t="shared" si="210"/>
        <v>0</v>
      </c>
      <c r="K416" s="507">
        <f t="shared" si="210"/>
        <v>0</v>
      </c>
      <c r="L416" s="507">
        <f t="shared" si="210"/>
        <v>0</v>
      </c>
      <c r="M416" s="507">
        <f t="shared" si="210"/>
        <v>0</v>
      </c>
      <c r="N416" s="507">
        <f t="shared" si="210"/>
        <v>0</v>
      </c>
      <c r="O416" s="507">
        <f t="shared" si="210"/>
        <v>0</v>
      </c>
      <c r="P416" s="507">
        <f t="shared" si="210"/>
        <v>0</v>
      </c>
      <c r="Q416" s="507">
        <f t="shared" si="210"/>
        <v>0</v>
      </c>
      <c r="R416" s="507">
        <f t="shared" si="210"/>
        <v>0</v>
      </c>
      <c r="S416" s="507">
        <f t="shared" si="210"/>
        <v>0</v>
      </c>
      <c r="T416" s="507">
        <f t="shared" ref="G416:AH425" si="211">SUMIF($B$138:$B$182,$B416,T$138:T$182)</f>
        <v>0</v>
      </c>
      <c r="U416" s="507">
        <f t="shared" si="211"/>
        <v>0</v>
      </c>
      <c r="V416" s="507">
        <f t="shared" si="211"/>
        <v>0</v>
      </c>
      <c r="W416" s="507">
        <f t="shared" si="211"/>
        <v>0</v>
      </c>
      <c r="X416" s="507">
        <f t="shared" si="211"/>
        <v>0</v>
      </c>
      <c r="Y416" s="507">
        <f t="shared" si="211"/>
        <v>0</v>
      </c>
      <c r="Z416" s="507">
        <f t="shared" si="211"/>
        <v>0</v>
      </c>
      <c r="AA416" s="507">
        <f t="shared" si="211"/>
        <v>0</v>
      </c>
      <c r="AB416" s="507">
        <f t="shared" si="211"/>
        <v>0</v>
      </c>
      <c r="AC416" s="507">
        <f t="shared" si="211"/>
        <v>0</v>
      </c>
      <c r="AD416" s="507">
        <f t="shared" si="211"/>
        <v>0</v>
      </c>
      <c r="AE416" s="507">
        <f t="shared" si="211"/>
        <v>0</v>
      </c>
      <c r="AF416" s="507">
        <f t="shared" si="211"/>
        <v>0</v>
      </c>
      <c r="AG416" s="507">
        <f t="shared" si="211"/>
        <v>0</v>
      </c>
      <c r="AH416" s="507">
        <f t="shared" si="211"/>
        <v>0</v>
      </c>
      <c r="AI416" s="516">
        <f>SUM(D416:N416)</f>
        <v>0</v>
      </c>
      <c r="AJ416" s="516">
        <f>SUM(D416:X416)</f>
        <v>0</v>
      </c>
      <c r="AK416" s="600">
        <f>SUM(D416:AH416)</f>
        <v>0</v>
      </c>
    </row>
    <row r="417" spans="1:37" x14ac:dyDescent="0.2">
      <c r="A417" s="505"/>
      <c r="B417" s="478" t="s">
        <v>263</v>
      </c>
      <c r="C417" s="465" t="s">
        <v>37</v>
      </c>
      <c r="D417" s="507">
        <f t="shared" si="210"/>
        <v>0</v>
      </c>
      <c r="E417" s="507">
        <f t="shared" si="210"/>
        <v>0</v>
      </c>
      <c r="F417" s="507">
        <f t="shared" si="210"/>
        <v>0</v>
      </c>
      <c r="G417" s="507">
        <f t="shared" si="211"/>
        <v>0</v>
      </c>
      <c r="H417" s="507">
        <f t="shared" si="211"/>
        <v>0</v>
      </c>
      <c r="I417" s="507">
        <f t="shared" si="211"/>
        <v>0</v>
      </c>
      <c r="J417" s="507">
        <f t="shared" si="211"/>
        <v>0</v>
      </c>
      <c r="K417" s="507">
        <f t="shared" si="211"/>
        <v>0</v>
      </c>
      <c r="L417" s="507">
        <f t="shared" si="211"/>
        <v>0</v>
      </c>
      <c r="M417" s="507">
        <f t="shared" si="211"/>
        <v>0</v>
      </c>
      <c r="N417" s="507">
        <f t="shared" si="211"/>
        <v>0</v>
      </c>
      <c r="O417" s="507">
        <f t="shared" si="211"/>
        <v>0</v>
      </c>
      <c r="P417" s="507">
        <f t="shared" si="211"/>
        <v>0</v>
      </c>
      <c r="Q417" s="507">
        <f t="shared" si="211"/>
        <v>0</v>
      </c>
      <c r="R417" s="507">
        <f t="shared" si="211"/>
        <v>0</v>
      </c>
      <c r="S417" s="507">
        <f t="shared" si="211"/>
        <v>0</v>
      </c>
      <c r="T417" s="507">
        <f t="shared" si="211"/>
        <v>0</v>
      </c>
      <c r="U417" s="507">
        <f t="shared" si="211"/>
        <v>0</v>
      </c>
      <c r="V417" s="507">
        <f t="shared" si="211"/>
        <v>0</v>
      </c>
      <c r="W417" s="507">
        <f t="shared" si="211"/>
        <v>0</v>
      </c>
      <c r="X417" s="507">
        <f t="shared" si="211"/>
        <v>0</v>
      </c>
      <c r="Y417" s="507">
        <f t="shared" si="211"/>
        <v>0</v>
      </c>
      <c r="Z417" s="507">
        <f t="shared" si="211"/>
        <v>0</v>
      </c>
      <c r="AA417" s="507">
        <f t="shared" si="211"/>
        <v>0</v>
      </c>
      <c r="AB417" s="507">
        <f t="shared" si="211"/>
        <v>0</v>
      </c>
      <c r="AC417" s="507">
        <f t="shared" si="211"/>
        <v>0</v>
      </c>
      <c r="AD417" s="507">
        <f t="shared" si="211"/>
        <v>0</v>
      </c>
      <c r="AE417" s="507">
        <f t="shared" si="211"/>
        <v>0</v>
      </c>
      <c r="AF417" s="507">
        <f t="shared" si="211"/>
        <v>0</v>
      </c>
      <c r="AG417" s="507">
        <f t="shared" si="211"/>
        <v>0</v>
      </c>
      <c r="AH417" s="507">
        <f t="shared" si="211"/>
        <v>0</v>
      </c>
      <c r="AI417" s="516">
        <f>SUM(D417:N417)</f>
        <v>0</v>
      </c>
      <c r="AJ417" s="516">
        <f>SUM(D417:X417)</f>
        <v>0</v>
      </c>
      <c r="AK417" s="600">
        <f>SUM(D417:AH417)</f>
        <v>0</v>
      </c>
    </row>
    <row r="418" spans="1:37" x14ac:dyDescent="0.2">
      <c r="A418" s="426"/>
      <c r="B418" s="452" t="s">
        <v>356</v>
      </c>
      <c r="C418" s="465" t="s">
        <v>37</v>
      </c>
      <c r="D418" s="507">
        <f t="shared" si="210"/>
        <v>0</v>
      </c>
      <c r="E418" s="507">
        <f t="shared" si="210"/>
        <v>0</v>
      </c>
      <c r="F418" s="507">
        <f t="shared" si="210"/>
        <v>0</v>
      </c>
      <c r="G418" s="507">
        <f t="shared" si="211"/>
        <v>0</v>
      </c>
      <c r="H418" s="507">
        <f t="shared" si="211"/>
        <v>0</v>
      </c>
      <c r="I418" s="507">
        <f t="shared" si="211"/>
        <v>0</v>
      </c>
      <c r="J418" s="507">
        <f t="shared" si="211"/>
        <v>0</v>
      </c>
      <c r="K418" s="507">
        <f t="shared" si="211"/>
        <v>0</v>
      </c>
      <c r="L418" s="507">
        <f t="shared" si="211"/>
        <v>0</v>
      </c>
      <c r="M418" s="507">
        <f t="shared" si="211"/>
        <v>0</v>
      </c>
      <c r="N418" s="507">
        <f t="shared" si="211"/>
        <v>0</v>
      </c>
      <c r="O418" s="507">
        <f t="shared" si="211"/>
        <v>0</v>
      </c>
      <c r="P418" s="507">
        <f t="shared" si="211"/>
        <v>0</v>
      </c>
      <c r="Q418" s="507">
        <f t="shared" si="211"/>
        <v>0</v>
      </c>
      <c r="R418" s="507">
        <f t="shared" si="211"/>
        <v>0</v>
      </c>
      <c r="S418" s="507">
        <f t="shared" si="211"/>
        <v>0</v>
      </c>
      <c r="T418" s="507">
        <f t="shared" si="211"/>
        <v>0</v>
      </c>
      <c r="U418" s="507">
        <f t="shared" si="211"/>
        <v>0</v>
      </c>
      <c r="V418" s="507">
        <f t="shared" si="211"/>
        <v>0</v>
      </c>
      <c r="W418" s="507">
        <f t="shared" si="211"/>
        <v>0</v>
      </c>
      <c r="X418" s="507">
        <f t="shared" si="211"/>
        <v>0</v>
      </c>
      <c r="Y418" s="507">
        <f t="shared" si="211"/>
        <v>0</v>
      </c>
      <c r="Z418" s="507">
        <f t="shared" si="211"/>
        <v>0</v>
      </c>
      <c r="AA418" s="507">
        <f t="shared" si="211"/>
        <v>0</v>
      </c>
      <c r="AB418" s="507">
        <f t="shared" si="211"/>
        <v>0</v>
      </c>
      <c r="AC418" s="507">
        <f t="shared" si="211"/>
        <v>0</v>
      </c>
      <c r="AD418" s="507">
        <f t="shared" si="211"/>
        <v>0</v>
      </c>
      <c r="AE418" s="507">
        <f t="shared" si="211"/>
        <v>0</v>
      </c>
      <c r="AF418" s="507">
        <f t="shared" si="211"/>
        <v>0</v>
      </c>
      <c r="AG418" s="507">
        <f t="shared" si="211"/>
        <v>0</v>
      </c>
      <c r="AH418" s="507">
        <f t="shared" si="211"/>
        <v>0</v>
      </c>
      <c r="AI418" s="516">
        <f>SUM(D418:N418)</f>
        <v>0</v>
      </c>
      <c r="AJ418" s="516">
        <f>SUM(D418:X418)</f>
        <v>0</v>
      </c>
      <c r="AK418" s="600">
        <f>SUM(D418:AH418)</f>
        <v>0</v>
      </c>
    </row>
    <row r="419" spans="1:37" x14ac:dyDescent="0.2">
      <c r="A419" s="426"/>
      <c r="B419" s="452" t="s">
        <v>355</v>
      </c>
      <c r="C419" s="465" t="s">
        <v>37</v>
      </c>
      <c r="D419" s="507">
        <f t="shared" si="210"/>
        <v>0</v>
      </c>
      <c r="E419" s="507">
        <f t="shared" si="210"/>
        <v>0</v>
      </c>
      <c r="F419" s="507">
        <f t="shared" si="210"/>
        <v>0</v>
      </c>
      <c r="G419" s="507">
        <f t="shared" si="211"/>
        <v>0</v>
      </c>
      <c r="H419" s="507">
        <f t="shared" si="211"/>
        <v>0</v>
      </c>
      <c r="I419" s="507">
        <f t="shared" si="211"/>
        <v>0</v>
      </c>
      <c r="J419" s="507">
        <f t="shared" si="211"/>
        <v>0</v>
      </c>
      <c r="K419" s="507">
        <f t="shared" si="211"/>
        <v>0</v>
      </c>
      <c r="L419" s="507">
        <f t="shared" si="211"/>
        <v>0</v>
      </c>
      <c r="M419" s="507">
        <f t="shared" si="211"/>
        <v>0</v>
      </c>
      <c r="N419" s="507">
        <f t="shared" si="211"/>
        <v>0</v>
      </c>
      <c r="O419" s="507">
        <f t="shared" si="211"/>
        <v>0</v>
      </c>
      <c r="P419" s="507">
        <f t="shared" si="211"/>
        <v>0</v>
      </c>
      <c r="Q419" s="507">
        <f t="shared" si="211"/>
        <v>0</v>
      </c>
      <c r="R419" s="507">
        <f t="shared" si="211"/>
        <v>0</v>
      </c>
      <c r="S419" s="507">
        <f t="shared" si="211"/>
        <v>0</v>
      </c>
      <c r="T419" s="507">
        <f t="shared" si="211"/>
        <v>0</v>
      </c>
      <c r="U419" s="507">
        <f t="shared" si="211"/>
        <v>0</v>
      </c>
      <c r="V419" s="507">
        <f t="shared" si="211"/>
        <v>0</v>
      </c>
      <c r="W419" s="507">
        <f t="shared" si="211"/>
        <v>0</v>
      </c>
      <c r="X419" s="507">
        <f t="shared" si="211"/>
        <v>0</v>
      </c>
      <c r="Y419" s="507">
        <f t="shared" si="211"/>
        <v>0</v>
      </c>
      <c r="Z419" s="507">
        <f t="shared" si="211"/>
        <v>0</v>
      </c>
      <c r="AA419" s="507">
        <f t="shared" si="211"/>
        <v>0</v>
      </c>
      <c r="AB419" s="507">
        <f t="shared" si="211"/>
        <v>0</v>
      </c>
      <c r="AC419" s="507">
        <f t="shared" si="211"/>
        <v>0</v>
      </c>
      <c r="AD419" s="507">
        <f t="shared" si="211"/>
        <v>0</v>
      </c>
      <c r="AE419" s="507">
        <f t="shared" si="211"/>
        <v>0</v>
      </c>
      <c r="AF419" s="507">
        <f t="shared" si="211"/>
        <v>0</v>
      </c>
      <c r="AG419" s="507">
        <f t="shared" si="211"/>
        <v>0</v>
      </c>
      <c r="AH419" s="507">
        <f t="shared" si="211"/>
        <v>0</v>
      </c>
      <c r="AI419" s="516">
        <f>SUM(D419:N419)</f>
        <v>0</v>
      </c>
      <c r="AJ419" s="516">
        <f>SUM(D419:X419)</f>
        <v>0</v>
      </c>
      <c r="AK419" s="600">
        <f>SUM(D419:AH419)</f>
        <v>0</v>
      </c>
    </row>
    <row r="420" spans="1:37" x14ac:dyDescent="0.2">
      <c r="A420" s="505"/>
      <c r="B420" s="452" t="s">
        <v>339</v>
      </c>
      <c r="C420" s="465" t="s">
        <v>37</v>
      </c>
      <c r="D420" s="507">
        <f t="shared" si="210"/>
        <v>0</v>
      </c>
      <c r="E420" s="507">
        <f t="shared" si="210"/>
        <v>0</v>
      </c>
      <c r="F420" s="507">
        <f t="shared" si="210"/>
        <v>0</v>
      </c>
      <c r="G420" s="507">
        <f t="shared" si="211"/>
        <v>0</v>
      </c>
      <c r="H420" s="507">
        <f t="shared" si="211"/>
        <v>0</v>
      </c>
      <c r="I420" s="507">
        <f t="shared" si="211"/>
        <v>0</v>
      </c>
      <c r="J420" s="507">
        <f t="shared" si="211"/>
        <v>0</v>
      </c>
      <c r="K420" s="507">
        <f t="shared" si="211"/>
        <v>0</v>
      </c>
      <c r="L420" s="507">
        <f t="shared" si="211"/>
        <v>0</v>
      </c>
      <c r="M420" s="507">
        <f t="shared" si="211"/>
        <v>0</v>
      </c>
      <c r="N420" s="507">
        <f t="shared" si="211"/>
        <v>0</v>
      </c>
      <c r="O420" s="507">
        <f t="shared" si="211"/>
        <v>0</v>
      </c>
      <c r="P420" s="507">
        <f t="shared" si="211"/>
        <v>0</v>
      </c>
      <c r="Q420" s="507">
        <f t="shared" si="211"/>
        <v>0</v>
      </c>
      <c r="R420" s="507">
        <f t="shared" si="211"/>
        <v>0</v>
      </c>
      <c r="S420" s="507">
        <f t="shared" si="211"/>
        <v>0</v>
      </c>
      <c r="T420" s="507">
        <f t="shared" si="211"/>
        <v>0</v>
      </c>
      <c r="U420" s="507">
        <f t="shared" si="211"/>
        <v>0</v>
      </c>
      <c r="V420" s="507">
        <f t="shared" si="211"/>
        <v>0</v>
      </c>
      <c r="W420" s="507">
        <f t="shared" si="211"/>
        <v>0</v>
      </c>
      <c r="X420" s="507">
        <f t="shared" si="211"/>
        <v>0</v>
      </c>
      <c r="Y420" s="507">
        <f t="shared" si="211"/>
        <v>0</v>
      </c>
      <c r="Z420" s="507">
        <f t="shared" si="211"/>
        <v>0</v>
      </c>
      <c r="AA420" s="507">
        <f t="shared" si="211"/>
        <v>0</v>
      </c>
      <c r="AB420" s="507">
        <f t="shared" si="211"/>
        <v>0</v>
      </c>
      <c r="AC420" s="507">
        <f t="shared" si="211"/>
        <v>0</v>
      </c>
      <c r="AD420" s="507">
        <f t="shared" si="211"/>
        <v>0</v>
      </c>
      <c r="AE420" s="507">
        <f t="shared" si="211"/>
        <v>0</v>
      </c>
      <c r="AF420" s="507">
        <f t="shared" si="211"/>
        <v>0</v>
      </c>
      <c r="AG420" s="507">
        <f t="shared" si="211"/>
        <v>0</v>
      </c>
      <c r="AH420" s="507">
        <f t="shared" si="211"/>
        <v>0</v>
      </c>
      <c r="AI420" s="516">
        <f t="shared" ref="AI420:AI429" si="212">SUM(D420:N420)</f>
        <v>0</v>
      </c>
      <c r="AJ420" s="516">
        <f t="shared" ref="AJ420:AJ429" si="213">SUM(D420:X420)</f>
        <v>0</v>
      </c>
      <c r="AK420" s="600">
        <f t="shared" ref="AK420:AK429" si="214">SUM(D420:AH420)</f>
        <v>0</v>
      </c>
    </row>
    <row r="421" spans="1:37" x14ac:dyDescent="0.2">
      <c r="A421" s="505"/>
      <c r="B421" s="452" t="s">
        <v>340</v>
      </c>
      <c r="C421" s="465" t="s">
        <v>37</v>
      </c>
      <c r="D421" s="507">
        <f t="shared" si="210"/>
        <v>0</v>
      </c>
      <c r="E421" s="507">
        <f t="shared" si="210"/>
        <v>0</v>
      </c>
      <c r="F421" s="507">
        <f t="shared" si="210"/>
        <v>0</v>
      </c>
      <c r="G421" s="507">
        <f t="shared" si="211"/>
        <v>0</v>
      </c>
      <c r="H421" s="507">
        <f t="shared" si="211"/>
        <v>0</v>
      </c>
      <c r="I421" s="507">
        <f t="shared" si="211"/>
        <v>0</v>
      </c>
      <c r="J421" s="507">
        <f t="shared" si="211"/>
        <v>0</v>
      </c>
      <c r="K421" s="507">
        <f t="shared" si="211"/>
        <v>0</v>
      </c>
      <c r="L421" s="507">
        <f t="shared" si="211"/>
        <v>0</v>
      </c>
      <c r="M421" s="507">
        <f t="shared" si="211"/>
        <v>0</v>
      </c>
      <c r="N421" s="507">
        <f t="shared" si="211"/>
        <v>0</v>
      </c>
      <c r="O421" s="507">
        <f t="shared" si="211"/>
        <v>0</v>
      </c>
      <c r="P421" s="507">
        <f t="shared" si="211"/>
        <v>0</v>
      </c>
      <c r="Q421" s="507">
        <f t="shared" si="211"/>
        <v>0</v>
      </c>
      <c r="R421" s="507">
        <f t="shared" si="211"/>
        <v>0</v>
      </c>
      <c r="S421" s="507">
        <f t="shared" si="211"/>
        <v>0</v>
      </c>
      <c r="T421" s="507">
        <f t="shared" si="211"/>
        <v>0</v>
      </c>
      <c r="U421" s="507">
        <f t="shared" si="211"/>
        <v>0</v>
      </c>
      <c r="V421" s="507">
        <f t="shared" si="211"/>
        <v>0</v>
      </c>
      <c r="W421" s="507">
        <f t="shared" si="211"/>
        <v>0</v>
      </c>
      <c r="X421" s="507">
        <f t="shared" si="211"/>
        <v>0</v>
      </c>
      <c r="Y421" s="507">
        <f t="shared" si="211"/>
        <v>0</v>
      </c>
      <c r="Z421" s="507">
        <f t="shared" si="211"/>
        <v>0</v>
      </c>
      <c r="AA421" s="507">
        <f t="shared" si="211"/>
        <v>0</v>
      </c>
      <c r="AB421" s="507">
        <f t="shared" si="211"/>
        <v>0</v>
      </c>
      <c r="AC421" s="507">
        <f t="shared" si="211"/>
        <v>0</v>
      </c>
      <c r="AD421" s="507">
        <f t="shared" si="211"/>
        <v>0</v>
      </c>
      <c r="AE421" s="507">
        <f t="shared" si="211"/>
        <v>0</v>
      </c>
      <c r="AF421" s="507">
        <f t="shared" si="211"/>
        <v>0</v>
      </c>
      <c r="AG421" s="507">
        <f t="shared" si="211"/>
        <v>0</v>
      </c>
      <c r="AH421" s="507">
        <f t="shared" si="211"/>
        <v>0</v>
      </c>
      <c r="AI421" s="516">
        <f t="shared" si="212"/>
        <v>0</v>
      </c>
      <c r="AJ421" s="516">
        <f t="shared" si="213"/>
        <v>0</v>
      </c>
      <c r="AK421" s="600">
        <f t="shared" si="214"/>
        <v>0</v>
      </c>
    </row>
    <row r="422" spans="1:37" x14ac:dyDescent="0.2">
      <c r="A422" s="505"/>
      <c r="B422" s="452" t="s">
        <v>341</v>
      </c>
      <c r="C422" s="465" t="s">
        <v>37</v>
      </c>
      <c r="D422" s="507">
        <f t="shared" si="210"/>
        <v>0</v>
      </c>
      <c r="E422" s="507">
        <f t="shared" si="210"/>
        <v>0</v>
      </c>
      <c r="F422" s="507">
        <f t="shared" si="210"/>
        <v>0</v>
      </c>
      <c r="G422" s="507">
        <f t="shared" si="211"/>
        <v>0</v>
      </c>
      <c r="H422" s="507">
        <f t="shared" si="211"/>
        <v>0</v>
      </c>
      <c r="I422" s="507">
        <f t="shared" si="211"/>
        <v>0</v>
      </c>
      <c r="J422" s="507">
        <f t="shared" si="211"/>
        <v>0</v>
      </c>
      <c r="K422" s="507">
        <f t="shared" si="211"/>
        <v>0</v>
      </c>
      <c r="L422" s="507">
        <f t="shared" si="211"/>
        <v>0</v>
      </c>
      <c r="M422" s="507">
        <f t="shared" si="211"/>
        <v>0</v>
      </c>
      <c r="N422" s="507">
        <f t="shared" si="211"/>
        <v>0</v>
      </c>
      <c r="O422" s="507">
        <f t="shared" si="211"/>
        <v>0</v>
      </c>
      <c r="P422" s="507">
        <f t="shared" si="211"/>
        <v>0</v>
      </c>
      <c r="Q422" s="507">
        <f t="shared" si="211"/>
        <v>0</v>
      </c>
      <c r="R422" s="507">
        <f t="shared" si="211"/>
        <v>0</v>
      </c>
      <c r="S422" s="507">
        <f t="shared" si="211"/>
        <v>0</v>
      </c>
      <c r="T422" s="507">
        <f t="shared" si="211"/>
        <v>0</v>
      </c>
      <c r="U422" s="507">
        <f t="shared" si="211"/>
        <v>0</v>
      </c>
      <c r="V422" s="507">
        <f t="shared" si="211"/>
        <v>0</v>
      </c>
      <c r="W422" s="507">
        <f t="shared" si="211"/>
        <v>0</v>
      </c>
      <c r="X422" s="507">
        <f t="shared" si="211"/>
        <v>0</v>
      </c>
      <c r="Y422" s="507">
        <f t="shared" si="211"/>
        <v>0</v>
      </c>
      <c r="Z422" s="507">
        <f t="shared" si="211"/>
        <v>0</v>
      </c>
      <c r="AA422" s="507">
        <f t="shared" si="211"/>
        <v>0</v>
      </c>
      <c r="AB422" s="507">
        <f t="shared" si="211"/>
        <v>0</v>
      </c>
      <c r="AC422" s="507">
        <f t="shared" si="211"/>
        <v>0</v>
      </c>
      <c r="AD422" s="507">
        <f t="shared" si="211"/>
        <v>0</v>
      </c>
      <c r="AE422" s="507">
        <f t="shared" si="211"/>
        <v>0</v>
      </c>
      <c r="AF422" s="507">
        <f t="shared" si="211"/>
        <v>0</v>
      </c>
      <c r="AG422" s="507">
        <f t="shared" si="211"/>
        <v>0</v>
      </c>
      <c r="AH422" s="507">
        <f t="shared" si="211"/>
        <v>0</v>
      </c>
      <c r="AI422" s="516">
        <f t="shared" si="212"/>
        <v>0</v>
      </c>
      <c r="AJ422" s="516">
        <f t="shared" si="213"/>
        <v>0</v>
      </c>
      <c r="AK422" s="600">
        <f t="shared" si="214"/>
        <v>0</v>
      </c>
    </row>
    <row r="423" spans="1:37" x14ac:dyDescent="0.2">
      <c r="B423" s="452" t="s">
        <v>342</v>
      </c>
      <c r="C423" s="465" t="s">
        <v>37</v>
      </c>
      <c r="D423" s="507">
        <f t="shared" si="210"/>
        <v>0</v>
      </c>
      <c r="E423" s="507">
        <f t="shared" si="210"/>
        <v>0</v>
      </c>
      <c r="F423" s="507">
        <f t="shared" si="210"/>
        <v>0</v>
      </c>
      <c r="G423" s="507">
        <f t="shared" si="211"/>
        <v>0</v>
      </c>
      <c r="H423" s="507">
        <f t="shared" si="211"/>
        <v>0</v>
      </c>
      <c r="I423" s="507">
        <f t="shared" si="211"/>
        <v>0</v>
      </c>
      <c r="J423" s="507">
        <f t="shared" si="211"/>
        <v>0</v>
      </c>
      <c r="K423" s="507">
        <f t="shared" si="211"/>
        <v>0</v>
      </c>
      <c r="L423" s="507">
        <f t="shared" si="211"/>
        <v>0</v>
      </c>
      <c r="M423" s="507">
        <f t="shared" si="211"/>
        <v>0</v>
      </c>
      <c r="N423" s="507">
        <f t="shared" si="211"/>
        <v>0</v>
      </c>
      <c r="O423" s="507">
        <f t="shared" si="211"/>
        <v>0</v>
      </c>
      <c r="P423" s="507">
        <f t="shared" si="211"/>
        <v>0</v>
      </c>
      <c r="Q423" s="507">
        <f t="shared" si="211"/>
        <v>0</v>
      </c>
      <c r="R423" s="507">
        <f t="shared" si="211"/>
        <v>0</v>
      </c>
      <c r="S423" s="507">
        <f t="shared" si="211"/>
        <v>0</v>
      </c>
      <c r="T423" s="507">
        <f t="shared" si="211"/>
        <v>0</v>
      </c>
      <c r="U423" s="507">
        <f t="shared" si="211"/>
        <v>0</v>
      </c>
      <c r="V423" s="507">
        <f t="shared" si="211"/>
        <v>0</v>
      </c>
      <c r="W423" s="507">
        <f t="shared" si="211"/>
        <v>0</v>
      </c>
      <c r="X423" s="507">
        <f t="shared" si="211"/>
        <v>0</v>
      </c>
      <c r="Y423" s="507">
        <f t="shared" si="211"/>
        <v>0</v>
      </c>
      <c r="Z423" s="507">
        <f t="shared" si="211"/>
        <v>0</v>
      </c>
      <c r="AA423" s="507">
        <f t="shared" si="211"/>
        <v>0</v>
      </c>
      <c r="AB423" s="507">
        <f t="shared" si="211"/>
        <v>0</v>
      </c>
      <c r="AC423" s="507">
        <f t="shared" si="211"/>
        <v>0</v>
      </c>
      <c r="AD423" s="507">
        <f t="shared" si="211"/>
        <v>0</v>
      </c>
      <c r="AE423" s="507">
        <f t="shared" si="211"/>
        <v>0</v>
      </c>
      <c r="AF423" s="507">
        <f t="shared" si="211"/>
        <v>0</v>
      </c>
      <c r="AG423" s="507">
        <f t="shared" si="211"/>
        <v>0</v>
      </c>
      <c r="AH423" s="507">
        <f t="shared" si="211"/>
        <v>0</v>
      </c>
      <c r="AI423" s="516">
        <f t="shared" si="212"/>
        <v>0</v>
      </c>
      <c r="AJ423" s="516">
        <f t="shared" si="213"/>
        <v>0</v>
      </c>
      <c r="AK423" s="600">
        <f t="shared" si="214"/>
        <v>0</v>
      </c>
    </row>
    <row r="424" spans="1:37" x14ac:dyDescent="0.2">
      <c r="B424" s="452" t="s">
        <v>344</v>
      </c>
      <c r="C424" s="465" t="s">
        <v>37</v>
      </c>
      <c r="D424" s="507">
        <f t="shared" si="210"/>
        <v>0</v>
      </c>
      <c r="E424" s="507">
        <f t="shared" si="210"/>
        <v>0</v>
      </c>
      <c r="F424" s="507">
        <f t="shared" si="210"/>
        <v>0</v>
      </c>
      <c r="G424" s="507">
        <f t="shared" si="211"/>
        <v>0</v>
      </c>
      <c r="H424" s="507">
        <f t="shared" si="211"/>
        <v>0</v>
      </c>
      <c r="I424" s="507">
        <f t="shared" si="211"/>
        <v>0</v>
      </c>
      <c r="J424" s="507">
        <f t="shared" si="211"/>
        <v>0</v>
      </c>
      <c r="K424" s="507">
        <f t="shared" si="211"/>
        <v>0</v>
      </c>
      <c r="L424" s="507">
        <f t="shared" si="211"/>
        <v>0</v>
      </c>
      <c r="M424" s="507">
        <f t="shared" si="211"/>
        <v>0</v>
      </c>
      <c r="N424" s="507">
        <f t="shared" si="211"/>
        <v>0</v>
      </c>
      <c r="O424" s="507">
        <f t="shared" si="211"/>
        <v>0</v>
      </c>
      <c r="P424" s="507">
        <f t="shared" si="211"/>
        <v>0</v>
      </c>
      <c r="Q424" s="507">
        <f t="shared" si="211"/>
        <v>0</v>
      </c>
      <c r="R424" s="507">
        <f t="shared" si="211"/>
        <v>0</v>
      </c>
      <c r="S424" s="507">
        <f t="shared" si="211"/>
        <v>0</v>
      </c>
      <c r="T424" s="507">
        <f t="shared" si="211"/>
        <v>0</v>
      </c>
      <c r="U424" s="507">
        <f t="shared" si="211"/>
        <v>0</v>
      </c>
      <c r="V424" s="507">
        <f t="shared" si="211"/>
        <v>0</v>
      </c>
      <c r="W424" s="507">
        <f t="shared" si="211"/>
        <v>0</v>
      </c>
      <c r="X424" s="507">
        <f t="shared" si="211"/>
        <v>0</v>
      </c>
      <c r="Y424" s="507">
        <f t="shared" si="211"/>
        <v>0</v>
      </c>
      <c r="Z424" s="507">
        <f t="shared" si="211"/>
        <v>0</v>
      </c>
      <c r="AA424" s="507">
        <f t="shared" si="211"/>
        <v>0</v>
      </c>
      <c r="AB424" s="507">
        <f t="shared" si="211"/>
        <v>0</v>
      </c>
      <c r="AC424" s="507">
        <f t="shared" si="211"/>
        <v>0</v>
      </c>
      <c r="AD424" s="507">
        <f t="shared" si="211"/>
        <v>0</v>
      </c>
      <c r="AE424" s="507">
        <f t="shared" si="211"/>
        <v>0</v>
      </c>
      <c r="AF424" s="507">
        <f t="shared" si="211"/>
        <v>0</v>
      </c>
      <c r="AG424" s="507">
        <f t="shared" si="211"/>
        <v>0</v>
      </c>
      <c r="AH424" s="507">
        <f t="shared" si="211"/>
        <v>0</v>
      </c>
      <c r="AI424" s="516">
        <f t="shared" si="212"/>
        <v>0</v>
      </c>
      <c r="AJ424" s="516">
        <f t="shared" si="213"/>
        <v>0</v>
      </c>
      <c r="AK424" s="600">
        <f t="shared" si="214"/>
        <v>0</v>
      </c>
    </row>
    <row r="425" spans="1:37" x14ac:dyDescent="0.2">
      <c r="B425" s="452" t="s">
        <v>345</v>
      </c>
      <c r="C425" s="465" t="s">
        <v>37</v>
      </c>
      <c r="D425" s="507">
        <f t="shared" si="210"/>
        <v>0</v>
      </c>
      <c r="E425" s="507">
        <f t="shared" si="210"/>
        <v>0</v>
      </c>
      <c r="F425" s="507">
        <f t="shared" si="210"/>
        <v>0</v>
      </c>
      <c r="G425" s="507">
        <f t="shared" si="211"/>
        <v>0</v>
      </c>
      <c r="H425" s="507">
        <f t="shared" si="211"/>
        <v>0</v>
      </c>
      <c r="I425" s="507">
        <f t="shared" si="211"/>
        <v>0</v>
      </c>
      <c r="J425" s="507">
        <f t="shared" si="211"/>
        <v>0</v>
      </c>
      <c r="K425" s="507">
        <f t="shared" si="211"/>
        <v>0</v>
      </c>
      <c r="L425" s="507">
        <f t="shared" si="211"/>
        <v>0</v>
      </c>
      <c r="M425" s="507">
        <f t="shared" si="211"/>
        <v>0</v>
      </c>
      <c r="N425" s="507">
        <f t="shared" si="211"/>
        <v>0</v>
      </c>
      <c r="O425" s="507">
        <f t="shared" si="211"/>
        <v>0</v>
      </c>
      <c r="P425" s="507">
        <f t="shared" si="211"/>
        <v>0</v>
      </c>
      <c r="Q425" s="507">
        <f t="shared" si="211"/>
        <v>0</v>
      </c>
      <c r="R425" s="507">
        <f t="shared" si="211"/>
        <v>0</v>
      </c>
      <c r="S425" s="507">
        <f t="shared" si="211"/>
        <v>0</v>
      </c>
      <c r="T425" s="507">
        <f t="shared" si="211"/>
        <v>0</v>
      </c>
      <c r="U425" s="507">
        <f t="shared" si="211"/>
        <v>0</v>
      </c>
      <c r="V425" s="507">
        <f t="shared" si="211"/>
        <v>0</v>
      </c>
      <c r="W425" s="507">
        <f t="shared" ref="G425:AH427" si="215">SUMIF($B$138:$B$182,$B425,W$138:W$182)</f>
        <v>0</v>
      </c>
      <c r="X425" s="507">
        <f t="shared" si="215"/>
        <v>0</v>
      </c>
      <c r="Y425" s="507">
        <f t="shared" si="215"/>
        <v>0</v>
      </c>
      <c r="Z425" s="507">
        <f t="shared" si="215"/>
        <v>0</v>
      </c>
      <c r="AA425" s="507">
        <f t="shared" si="215"/>
        <v>0</v>
      </c>
      <c r="AB425" s="507">
        <f t="shared" si="215"/>
        <v>0</v>
      </c>
      <c r="AC425" s="507">
        <f t="shared" si="215"/>
        <v>0</v>
      </c>
      <c r="AD425" s="507">
        <f t="shared" si="215"/>
        <v>0</v>
      </c>
      <c r="AE425" s="507">
        <f t="shared" si="215"/>
        <v>0</v>
      </c>
      <c r="AF425" s="507">
        <f t="shared" si="215"/>
        <v>0</v>
      </c>
      <c r="AG425" s="507">
        <f t="shared" si="215"/>
        <v>0</v>
      </c>
      <c r="AH425" s="507">
        <f t="shared" si="215"/>
        <v>0</v>
      </c>
      <c r="AI425" s="516">
        <f t="shared" si="212"/>
        <v>0</v>
      </c>
      <c r="AJ425" s="516">
        <f t="shared" si="213"/>
        <v>0</v>
      </c>
      <c r="AK425" s="600">
        <f t="shared" si="214"/>
        <v>0</v>
      </c>
    </row>
    <row r="426" spans="1:37" s="478" customFormat="1" x14ac:dyDescent="0.2">
      <c r="B426" s="452" t="s">
        <v>346</v>
      </c>
      <c r="C426" s="465" t="s">
        <v>37</v>
      </c>
      <c r="D426" s="507">
        <f t="shared" si="210"/>
        <v>0</v>
      </c>
      <c r="E426" s="507">
        <f t="shared" si="210"/>
        <v>0</v>
      </c>
      <c r="F426" s="507">
        <f t="shared" si="210"/>
        <v>0</v>
      </c>
      <c r="G426" s="507">
        <f t="shared" si="215"/>
        <v>0</v>
      </c>
      <c r="H426" s="507">
        <f t="shared" si="215"/>
        <v>0</v>
      </c>
      <c r="I426" s="507">
        <f t="shared" si="215"/>
        <v>0</v>
      </c>
      <c r="J426" s="507">
        <f t="shared" si="215"/>
        <v>0</v>
      </c>
      <c r="K426" s="507">
        <f t="shared" si="215"/>
        <v>0</v>
      </c>
      <c r="L426" s="507">
        <f t="shared" si="215"/>
        <v>0</v>
      </c>
      <c r="M426" s="507">
        <f t="shared" si="215"/>
        <v>0</v>
      </c>
      <c r="N426" s="507">
        <f t="shared" si="215"/>
        <v>0</v>
      </c>
      <c r="O426" s="507">
        <f t="shared" si="215"/>
        <v>0</v>
      </c>
      <c r="P426" s="507">
        <f t="shared" si="215"/>
        <v>0</v>
      </c>
      <c r="Q426" s="507">
        <f t="shared" si="215"/>
        <v>0</v>
      </c>
      <c r="R426" s="507">
        <f t="shared" si="215"/>
        <v>0</v>
      </c>
      <c r="S426" s="507">
        <f t="shared" si="215"/>
        <v>0</v>
      </c>
      <c r="T426" s="507">
        <f t="shared" si="215"/>
        <v>0</v>
      </c>
      <c r="U426" s="507">
        <f t="shared" si="215"/>
        <v>0</v>
      </c>
      <c r="V426" s="507">
        <f t="shared" si="215"/>
        <v>0</v>
      </c>
      <c r="W426" s="507">
        <f t="shared" si="215"/>
        <v>0</v>
      </c>
      <c r="X426" s="507">
        <f t="shared" si="215"/>
        <v>0</v>
      </c>
      <c r="Y426" s="507">
        <f t="shared" si="215"/>
        <v>0</v>
      </c>
      <c r="Z426" s="507">
        <f t="shared" si="215"/>
        <v>0</v>
      </c>
      <c r="AA426" s="507">
        <f t="shared" si="215"/>
        <v>0</v>
      </c>
      <c r="AB426" s="507">
        <f t="shared" si="215"/>
        <v>0</v>
      </c>
      <c r="AC426" s="507">
        <f t="shared" si="215"/>
        <v>0</v>
      </c>
      <c r="AD426" s="507">
        <f t="shared" si="215"/>
        <v>0</v>
      </c>
      <c r="AE426" s="507">
        <f t="shared" si="215"/>
        <v>0</v>
      </c>
      <c r="AF426" s="507">
        <f t="shared" si="215"/>
        <v>0</v>
      </c>
      <c r="AG426" s="507">
        <f t="shared" si="215"/>
        <v>0</v>
      </c>
      <c r="AH426" s="507">
        <f t="shared" si="215"/>
        <v>0</v>
      </c>
      <c r="AI426" s="516">
        <f t="shared" si="212"/>
        <v>0</v>
      </c>
      <c r="AJ426" s="516">
        <f t="shared" si="213"/>
        <v>0</v>
      </c>
      <c r="AK426" s="600">
        <f t="shared" si="214"/>
        <v>0</v>
      </c>
    </row>
    <row r="427" spans="1:37" x14ac:dyDescent="0.2">
      <c r="B427" s="452" t="s">
        <v>347</v>
      </c>
      <c r="C427" s="465" t="s">
        <v>37</v>
      </c>
      <c r="D427" s="507">
        <f t="shared" si="210"/>
        <v>0</v>
      </c>
      <c r="E427" s="507">
        <f t="shared" si="210"/>
        <v>0</v>
      </c>
      <c r="F427" s="507">
        <f t="shared" si="210"/>
        <v>0</v>
      </c>
      <c r="G427" s="507">
        <f t="shared" si="215"/>
        <v>0</v>
      </c>
      <c r="H427" s="507">
        <f t="shared" si="215"/>
        <v>0</v>
      </c>
      <c r="I427" s="507">
        <f t="shared" si="215"/>
        <v>0</v>
      </c>
      <c r="J427" s="507">
        <f t="shared" si="215"/>
        <v>0</v>
      </c>
      <c r="K427" s="507">
        <f t="shared" si="215"/>
        <v>0</v>
      </c>
      <c r="L427" s="507">
        <f t="shared" si="215"/>
        <v>0</v>
      </c>
      <c r="M427" s="507">
        <f t="shared" si="215"/>
        <v>0</v>
      </c>
      <c r="N427" s="507">
        <f t="shared" si="215"/>
        <v>0</v>
      </c>
      <c r="O427" s="507">
        <f t="shared" si="215"/>
        <v>0</v>
      </c>
      <c r="P427" s="507">
        <f t="shared" si="215"/>
        <v>0</v>
      </c>
      <c r="Q427" s="507">
        <f t="shared" si="215"/>
        <v>0</v>
      </c>
      <c r="R427" s="507">
        <f t="shared" si="215"/>
        <v>0</v>
      </c>
      <c r="S427" s="507">
        <f t="shared" si="215"/>
        <v>0</v>
      </c>
      <c r="T427" s="507">
        <f t="shared" si="215"/>
        <v>0</v>
      </c>
      <c r="U427" s="507">
        <f t="shared" si="215"/>
        <v>0</v>
      </c>
      <c r="V427" s="507">
        <f t="shared" si="215"/>
        <v>0</v>
      </c>
      <c r="W427" s="507">
        <f t="shared" si="215"/>
        <v>0</v>
      </c>
      <c r="X427" s="507">
        <f t="shared" si="215"/>
        <v>0</v>
      </c>
      <c r="Y427" s="507">
        <f t="shared" si="215"/>
        <v>0</v>
      </c>
      <c r="Z427" s="507">
        <f t="shared" si="215"/>
        <v>0</v>
      </c>
      <c r="AA427" s="507">
        <f t="shared" si="215"/>
        <v>0</v>
      </c>
      <c r="AB427" s="507">
        <f t="shared" si="215"/>
        <v>0</v>
      </c>
      <c r="AC427" s="507">
        <f t="shared" si="215"/>
        <v>0</v>
      </c>
      <c r="AD427" s="507">
        <f t="shared" si="215"/>
        <v>0</v>
      </c>
      <c r="AE427" s="507">
        <f t="shared" si="215"/>
        <v>0</v>
      </c>
      <c r="AF427" s="507">
        <f t="shared" si="215"/>
        <v>0</v>
      </c>
      <c r="AG427" s="507">
        <f t="shared" si="215"/>
        <v>0</v>
      </c>
      <c r="AH427" s="507">
        <f t="shared" si="215"/>
        <v>0</v>
      </c>
      <c r="AI427" s="516">
        <f t="shared" si="212"/>
        <v>0</v>
      </c>
      <c r="AJ427" s="516">
        <f t="shared" si="213"/>
        <v>0</v>
      </c>
      <c r="AK427" s="600">
        <f t="shared" si="214"/>
        <v>0</v>
      </c>
    </row>
    <row r="428" spans="1:37" x14ac:dyDescent="0.2">
      <c r="A428" s="1256" t="s">
        <v>1049</v>
      </c>
      <c r="B428" s="452"/>
      <c r="C428" s="465" t="s">
        <v>37</v>
      </c>
      <c r="D428" s="507">
        <f t="shared" ref="D428:S429" si="216">SUMIF($A$138:$A$182,$A428,D$138:D$182)</f>
        <v>0</v>
      </c>
      <c r="E428" s="507">
        <f t="shared" si="216"/>
        <v>0</v>
      </c>
      <c r="F428" s="507">
        <f t="shared" si="216"/>
        <v>0</v>
      </c>
      <c r="G428" s="507">
        <f t="shared" si="216"/>
        <v>0</v>
      </c>
      <c r="H428" s="507">
        <f t="shared" si="216"/>
        <v>0</v>
      </c>
      <c r="I428" s="507">
        <f t="shared" si="216"/>
        <v>0</v>
      </c>
      <c r="J428" s="507">
        <f t="shared" si="216"/>
        <v>0</v>
      </c>
      <c r="K428" s="507">
        <f t="shared" si="216"/>
        <v>0</v>
      </c>
      <c r="L428" s="507">
        <f t="shared" si="216"/>
        <v>0</v>
      </c>
      <c r="M428" s="507">
        <f t="shared" si="216"/>
        <v>0</v>
      </c>
      <c r="N428" s="507">
        <f t="shared" si="216"/>
        <v>0</v>
      </c>
      <c r="O428" s="507">
        <f t="shared" si="216"/>
        <v>0</v>
      </c>
      <c r="P428" s="507">
        <f t="shared" si="216"/>
        <v>0</v>
      </c>
      <c r="Q428" s="507">
        <f t="shared" si="216"/>
        <v>0</v>
      </c>
      <c r="R428" s="507">
        <f t="shared" si="216"/>
        <v>0</v>
      </c>
      <c r="S428" s="507">
        <f t="shared" si="216"/>
        <v>0</v>
      </c>
      <c r="T428" s="507">
        <f t="shared" ref="G428:AH429" si="217">SUMIF($A$138:$A$182,$A428,T$138:T$182)</f>
        <v>0</v>
      </c>
      <c r="U428" s="507">
        <f t="shared" si="217"/>
        <v>0</v>
      </c>
      <c r="V428" s="507">
        <f t="shared" si="217"/>
        <v>0</v>
      </c>
      <c r="W428" s="507">
        <f t="shared" si="217"/>
        <v>0</v>
      </c>
      <c r="X428" s="507">
        <f t="shared" si="217"/>
        <v>0</v>
      </c>
      <c r="Y428" s="507">
        <f t="shared" si="217"/>
        <v>0</v>
      </c>
      <c r="Z428" s="507">
        <f t="shared" si="217"/>
        <v>0</v>
      </c>
      <c r="AA428" s="507">
        <f t="shared" si="217"/>
        <v>0</v>
      </c>
      <c r="AB428" s="507">
        <f t="shared" si="217"/>
        <v>0</v>
      </c>
      <c r="AC428" s="507">
        <f t="shared" si="217"/>
        <v>0</v>
      </c>
      <c r="AD428" s="507">
        <f t="shared" si="217"/>
        <v>0</v>
      </c>
      <c r="AE428" s="507">
        <f t="shared" si="217"/>
        <v>0</v>
      </c>
      <c r="AF428" s="507">
        <f t="shared" si="217"/>
        <v>0</v>
      </c>
      <c r="AG428" s="507">
        <f t="shared" si="217"/>
        <v>0</v>
      </c>
      <c r="AH428" s="507">
        <f t="shared" si="217"/>
        <v>0</v>
      </c>
      <c r="AI428" s="516">
        <f t="shared" si="212"/>
        <v>0</v>
      </c>
      <c r="AJ428" s="516">
        <f t="shared" si="213"/>
        <v>0</v>
      </c>
      <c r="AK428" s="600">
        <f t="shared" si="214"/>
        <v>0</v>
      </c>
    </row>
    <row r="429" spans="1:37" x14ac:dyDescent="0.2">
      <c r="A429" s="1257" t="s">
        <v>1051</v>
      </c>
      <c r="B429" s="1258"/>
      <c r="C429" s="1259" t="s">
        <v>37</v>
      </c>
      <c r="D429" s="1254">
        <f t="shared" si="216"/>
        <v>0</v>
      </c>
      <c r="E429" s="1254">
        <f t="shared" si="216"/>
        <v>0</v>
      </c>
      <c r="F429" s="1254">
        <f t="shared" si="216"/>
        <v>0</v>
      </c>
      <c r="G429" s="1254">
        <f t="shared" si="217"/>
        <v>0</v>
      </c>
      <c r="H429" s="1254">
        <f t="shared" si="217"/>
        <v>0</v>
      </c>
      <c r="I429" s="1254">
        <f t="shared" si="217"/>
        <v>0</v>
      </c>
      <c r="J429" s="1254">
        <f t="shared" si="217"/>
        <v>0</v>
      </c>
      <c r="K429" s="1254">
        <f t="shared" si="217"/>
        <v>0</v>
      </c>
      <c r="L429" s="1254">
        <f t="shared" si="217"/>
        <v>0</v>
      </c>
      <c r="M429" s="1254">
        <f t="shared" si="217"/>
        <v>0</v>
      </c>
      <c r="N429" s="1254">
        <f t="shared" si="217"/>
        <v>0</v>
      </c>
      <c r="O429" s="1254">
        <f t="shared" si="217"/>
        <v>0</v>
      </c>
      <c r="P429" s="1254">
        <f t="shared" si="217"/>
        <v>0</v>
      </c>
      <c r="Q429" s="1254">
        <f t="shared" si="217"/>
        <v>0</v>
      </c>
      <c r="R429" s="1254">
        <f t="shared" si="217"/>
        <v>0</v>
      </c>
      <c r="S429" s="1254">
        <f t="shared" si="217"/>
        <v>0</v>
      </c>
      <c r="T429" s="1254">
        <f t="shared" si="217"/>
        <v>0</v>
      </c>
      <c r="U429" s="1254">
        <f t="shared" si="217"/>
        <v>0</v>
      </c>
      <c r="V429" s="1254">
        <f t="shared" si="217"/>
        <v>0</v>
      </c>
      <c r="W429" s="1254">
        <f t="shared" si="217"/>
        <v>0</v>
      </c>
      <c r="X429" s="1254">
        <f t="shared" si="217"/>
        <v>0</v>
      </c>
      <c r="Y429" s="1254">
        <f t="shared" si="217"/>
        <v>0</v>
      </c>
      <c r="Z429" s="1254">
        <f t="shared" si="217"/>
        <v>0</v>
      </c>
      <c r="AA429" s="1254">
        <f t="shared" si="217"/>
        <v>0</v>
      </c>
      <c r="AB429" s="1254">
        <f t="shared" si="217"/>
        <v>0</v>
      </c>
      <c r="AC429" s="1254">
        <f t="shared" si="217"/>
        <v>0</v>
      </c>
      <c r="AD429" s="1254">
        <f t="shared" si="217"/>
        <v>0</v>
      </c>
      <c r="AE429" s="1254">
        <f t="shared" si="217"/>
        <v>0</v>
      </c>
      <c r="AF429" s="1254">
        <f t="shared" si="217"/>
        <v>0</v>
      </c>
      <c r="AG429" s="1254">
        <f t="shared" si="217"/>
        <v>0</v>
      </c>
      <c r="AH429" s="1254">
        <f t="shared" si="217"/>
        <v>0</v>
      </c>
      <c r="AI429" s="515">
        <f t="shared" si="212"/>
        <v>0</v>
      </c>
      <c r="AJ429" s="515">
        <f t="shared" si="213"/>
        <v>0</v>
      </c>
      <c r="AK429" s="515">
        <f t="shared" si="214"/>
        <v>0</v>
      </c>
    </row>
    <row r="430" spans="1:37" x14ac:dyDescent="0.2">
      <c r="A430" s="1251" t="s">
        <v>284</v>
      </c>
      <c r="B430" s="1258"/>
      <c r="C430" s="1259" t="s">
        <v>37</v>
      </c>
      <c r="D430" s="1254">
        <f t="shared" ref="D430" si="218">SUM(D429,D428)</f>
        <v>0</v>
      </c>
      <c r="E430" s="1254">
        <f>SUM(E429,E428)</f>
        <v>0</v>
      </c>
      <c r="F430" s="1254">
        <f t="shared" ref="F430:AK430" si="219">SUM(F429,F428)</f>
        <v>0</v>
      </c>
      <c r="G430" s="1254">
        <f t="shared" si="219"/>
        <v>0</v>
      </c>
      <c r="H430" s="1254">
        <f t="shared" si="219"/>
        <v>0</v>
      </c>
      <c r="I430" s="1254">
        <f t="shared" si="219"/>
        <v>0</v>
      </c>
      <c r="J430" s="1254">
        <f t="shared" si="219"/>
        <v>0</v>
      </c>
      <c r="K430" s="1254">
        <f t="shared" si="219"/>
        <v>0</v>
      </c>
      <c r="L430" s="1254">
        <f t="shared" si="219"/>
        <v>0</v>
      </c>
      <c r="M430" s="1254">
        <f t="shared" si="219"/>
        <v>0</v>
      </c>
      <c r="N430" s="1254">
        <f t="shared" si="219"/>
        <v>0</v>
      </c>
      <c r="O430" s="1254">
        <f t="shared" si="219"/>
        <v>0</v>
      </c>
      <c r="P430" s="1254">
        <f t="shared" si="219"/>
        <v>0</v>
      </c>
      <c r="Q430" s="1254">
        <f t="shared" si="219"/>
        <v>0</v>
      </c>
      <c r="R430" s="1254">
        <f t="shared" si="219"/>
        <v>0</v>
      </c>
      <c r="S430" s="1254">
        <f t="shared" si="219"/>
        <v>0</v>
      </c>
      <c r="T430" s="1254">
        <f t="shared" si="219"/>
        <v>0</v>
      </c>
      <c r="U430" s="1254">
        <f t="shared" si="219"/>
        <v>0</v>
      </c>
      <c r="V430" s="1254">
        <f t="shared" si="219"/>
        <v>0</v>
      </c>
      <c r="W430" s="1254">
        <f t="shared" si="219"/>
        <v>0</v>
      </c>
      <c r="X430" s="1254">
        <f t="shared" si="219"/>
        <v>0</v>
      </c>
      <c r="Y430" s="1254">
        <f t="shared" si="219"/>
        <v>0</v>
      </c>
      <c r="Z430" s="1254">
        <f t="shared" si="219"/>
        <v>0</v>
      </c>
      <c r="AA430" s="1254">
        <f t="shared" si="219"/>
        <v>0</v>
      </c>
      <c r="AB430" s="1254">
        <f t="shared" si="219"/>
        <v>0</v>
      </c>
      <c r="AC430" s="1254">
        <f t="shared" si="219"/>
        <v>0</v>
      </c>
      <c r="AD430" s="1254">
        <f t="shared" si="219"/>
        <v>0</v>
      </c>
      <c r="AE430" s="1254">
        <f t="shared" si="219"/>
        <v>0</v>
      </c>
      <c r="AF430" s="1254">
        <f t="shared" si="219"/>
        <v>0</v>
      </c>
      <c r="AG430" s="1254">
        <f t="shared" si="219"/>
        <v>0</v>
      </c>
      <c r="AH430" s="1254">
        <f t="shared" si="219"/>
        <v>0</v>
      </c>
      <c r="AI430" s="1279">
        <f t="shared" si="219"/>
        <v>0</v>
      </c>
      <c r="AJ430" s="1279">
        <f t="shared" si="219"/>
        <v>0</v>
      </c>
      <c r="AK430" s="1279">
        <f t="shared" si="219"/>
        <v>0</v>
      </c>
    </row>
    <row r="431" spans="1:37" x14ac:dyDescent="0.2">
      <c r="A431" s="452" t="s">
        <v>286</v>
      </c>
      <c r="B431" s="478"/>
      <c r="C431" s="465"/>
      <c r="D431" s="507"/>
      <c r="E431" s="1272"/>
      <c r="F431" s="507"/>
      <c r="G431" s="507"/>
      <c r="H431" s="507"/>
      <c r="I431" s="507"/>
      <c r="J431" s="507"/>
      <c r="K431" s="507"/>
      <c r="L431" s="507"/>
      <c r="M431" s="507"/>
      <c r="N431" s="507"/>
      <c r="O431" s="507"/>
      <c r="P431" s="507"/>
      <c r="Q431" s="507"/>
      <c r="R431" s="507"/>
      <c r="S431" s="507"/>
      <c r="T431" s="507"/>
      <c r="U431" s="507"/>
      <c r="V431" s="507"/>
      <c r="W431" s="507"/>
      <c r="X431" s="507"/>
      <c r="Y431" s="507"/>
      <c r="Z431" s="507"/>
      <c r="AA431" s="507"/>
      <c r="AB431" s="507"/>
      <c r="AC431" s="507"/>
      <c r="AD431" s="507"/>
      <c r="AE431" s="507"/>
      <c r="AF431" s="507"/>
      <c r="AG431" s="507"/>
      <c r="AH431" s="507"/>
      <c r="AI431" s="516">
        <f>SUM(D431:N431)</f>
        <v>0</v>
      </c>
      <c r="AJ431" s="516">
        <f>SUM(D431:X431)</f>
        <v>0</v>
      </c>
      <c r="AK431" s="516">
        <f>SUM(D431:AH431)</f>
        <v>0</v>
      </c>
    </row>
    <row r="432" spans="1:37" x14ac:dyDescent="0.2">
      <c r="A432" s="1266" t="s">
        <v>1055</v>
      </c>
      <c r="B432" s="1267"/>
      <c r="C432" s="1268" t="s">
        <v>37</v>
      </c>
      <c r="D432" s="1269">
        <f>SUM(D32:D33,D36:D37)</f>
        <v>0</v>
      </c>
      <c r="E432" s="1269">
        <f>SUM(E32:E33,E36:E37)</f>
        <v>123269636.88069479</v>
      </c>
      <c r="F432" s="1269">
        <f t="shared" ref="F432:AK432" si="220">SUM(F32:F33,F36:F37)</f>
        <v>123269636.88069479</v>
      </c>
      <c r="G432" s="1269">
        <f t="shared" si="220"/>
        <v>123269636.88069479</v>
      </c>
      <c r="H432" s="1269">
        <f t="shared" si="220"/>
        <v>123269636.88069479</v>
      </c>
      <c r="I432" s="1269">
        <f t="shared" si="220"/>
        <v>123269636.88069479</v>
      </c>
      <c r="J432" s="1269">
        <f t="shared" si="220"/>
        <v>123269636.88069479</v>
      </c>
      <c r="K432" s="1269">
        <f t="shared" si="220"/>
        <v>123269636.88069479</v>
      </c>
      <c r="L432" s="1269">
        <f t="shared" si="220"/>
        <v>123269636.88069479</v>
      </c>
      <c r="M432" s="1269">
        <f t="shared" si="220"/>
        <v>123269636.88069479</v>
      </c>
      <c r="N432" s="1269">
        <f t="shared" si="220"/>
        <v>123269636.88069479</v>
      </c>
      <c r="O432" s="1269">
        <f t="shared" si="220"/>
        <v>123269636.88069479</v>
      </c>
      <c r="P432" s="1269">
        <f t="shared" si="220"/>
        <v>123269636.88069479</v>
      </c>
      <c r="Q432" s="1269">
        <f t="shared" si="220"/>
        <v>123269636.88069479</v>
      </c>
      <c r="R432" s="1269">
        <f t="shared" si="220"/>
        <v>123269636.88069479</v>
      </c>
      <c r="S432" s="1269">
        <f t="shared" si="220"/>
        <v>123269636.88069479</v>
      </c>
      <c r="T432" s="1269">
        <f t="shared" si="220"/>
        <v>123269636.88069479</v>
      </c>
      <c r="U432" s="1269">
        <f t="shared" si="220"/>
        <v>123269636.88069479</v>
      </c>
      <c r="V432" s="1269">
        <f t="shared" si="220"/>
        <v>123269636.88069479</v>
      </c>
      <c r="W432" s="1269">
        <f t="shared" si="220"/>
        <v>123269636.88069479</v>
      </c>
      <c r="X432" s="1269">
        <f t="shared" si="220"/>
        <v>123269636.88069479</v>
      </c>
      <c r="Y432" s="1269">
        <f t="shared" si="220"/>
        <v>123269636.88069479</v>
      </c>
      <c r="Z432" s="1269">
        <f t="shared" si="220"/>
        <v>123269636.88069479</v>
      </c>
      <c r="AA432" s="1269">
        <f t="shared" si="220"/>
        <v>123269636.88069479</v>
      </c>
      <c r="AB432" s="1269">
        <f t="shared" si="220"/>
        <v>123269636.88069479</v>
      </c>
      <c r="AC432" s="1269">
        <f t="shared" si="220"/>
        <v>123269636.88069479</v>
      </c>
      <c r="AD432" s="1269">
        <f t="shared" si="220"/>
        <v>123269636.88069479</v>
      </c>
      <c r="AE432" s="1269">
        <f t="shared" si="220"/>
        <v>123269636.88069479</v>
      </c>
      <c r="AF432" s="1269">
        <f t="shared" si="220"/>
        <v>123269636.88069479</v>
      </c>
      <c r="AG432" s="1269">
        <f t="shared" si="220"/>
        <v>123269636.88069479</v>
      </c>
      <c r="AH432" s="1269">
        <f t="shared" si="220"/>
        <v>123269636.88069479</v>
      </c>
      <c r="AI432" s="1276">
        <f t="shared" si="220"/>
        <v>1232696368.8069479</v>
      </c>
      <c r="AJ432" s="1276">
        <f t="shared" si="220"/>
        <v>2465392737.6138964</v>
      </c>
      <c r="AK432" s="1277">
        <f t="shared" si="220"/>
        <v>3698089106.4208431</v>
      </c>
    </row>
    <row r="433" spans="1:37" x14ac:dyDescent="0.2">
      <c r="A433" s="505" t="s">
        <v>283</v>
      </c>
      <c r="B433" s="452"/>
      <c r="C433" s="465" t="s">
        <v>37</v>
      </c>
      <c r="D433" s="507">
        <f>SUMIF($B$183:$B$376,"売上（税別）",D$183:D$376)</f>
        <v>0</v>
      </c>
      <c r="E433" s="1272">
        <f>SUMIF($B$183:$B$376,"売上（税別）",E$183:E$376)</f>
        <v>55471336.596312642</v>
      </c>
      <c r="F433" s="1272">
        <f t="shared" ref="F433:AK433" si="221">SUMIF($B$183:$B$376,"売上（税別）",F$183:F$376)</f>
        <v>55471336.596312642</v>
      </c>
      <c r="G433" s="1272">
        <f t="shared" si="221"/>
        <v>55471336.596312642</v>
      </c>
      <c r="H433" s="1272">
        <f t="shared" si="221"/>
        <v>55471336.596312642</v>
      </c>
      <c r="I433" s="1272">
        <f t="shared" si="221"/>
        <v>55471336.596312642</v>
      </c>
      <c r="J433" s="1272">
        <f t="shared" si="221"/>
        <v>55471336.596312642</v>
      </c>
      <c r="K433" s="1272">
        <f t="shared" si="221"/>
        <v>55471336.596312642</v>
      </c>
      <c r="L433" s="1272">
        <f t="shared" si="221"/>
        <v>55471336.596312642</v>
      </c>
      <c r="M433" s="1272">
        <f t="shared" si="221"/>
        <v>55471336.596312642</v>
      </c>
      <c r="N433" s="1272">
        <f t="shared" si="221"/>
        <v>55471336.596312642</v>
      </c>
      <c r="O433" s="1272">
        <f t="shared" si="221"/>
        <v>55471336.596312642</v>
      </c>
      <c r="P433" s="1272">
        <f t="shared" si="221"/>
        <v>55471336.596312642</v>
      </c>
      <c r="Q433" s="1272">
        <f t="shared" si="221"/>
        <v>55471336.596312642</v>
      </c>
      <c r="R433" s="1272">
        <f t="shared" si="221"/>
        <v>55471336.596312642</v>
      </c>
      <c r="S433" s="1272">
        <f t="shared" si="221"/>
        <v>55471336.596312642</v>
      </c>
      <c r="T433" s="1272">
        <f t="shared" si="221"/>
        <v>55471336.596312642</v>
      </c>
      <c r="U433" s="1272">
        <f t="shared" si="221"/>
        <v>55471336.596312642</v>
      </c>
      <c r="V433" s="1272">
        <f t="shared" si="221"/>
        <v>55471336.596312642</v>
      </c>
      <c r="W433" s="1272">
        <f t="shared" si="221"/>
        <v>55471336.596312642</v>
      </c>
      <c r="X433" s="1272">
        <f t="shared" si="221"/>
        <v>55471336.596312642</v>
      </c>
      <c r="Y433" s="1272">
        <f t="shared" si="221"/>
        <v>55471336.596312642</v>
      </c>
      <c r="Z433" s="1272">
        <f t="shared" si="221"/>
        <v>55471336.596312642</v>
      </c>
      <c r="AA433" s="1272">
        <f t="shared" si="221"/>
        <v>55471336.596312642</v>
      </c>
      <c r="AB433" s="1272">
        <f t="shared" si="221"/>
        <v>55471336.596312642</v>
      </c>
      <c r="AC433" s="1272">
        <f t="shared" si="221"/>
        <v>55471336.596312642</v>
      </c>
      <c r="AD433" s="1272">
        <f t="shared" si="221"/>
        <v>55471336.596312642</v>
      </c>
      <c r="AE433" s="1272">
        <f t="shared" si="221"/>
        <v>55471336.596312642</v>
      </c>
      <c r="AF433" s="1272">
        <f t="shared" si="221"/>
        <v>55471336.596312642</v>
      </c>
      <c r="AG433" s="1272">
        <f t="shared" si="221"/>
        <v>55471336.596312642</v>
      </c>
      <c r="AH433" s="1272">
        <f t="shared" si="221"/>
        <v>55471336.596312642</v>
      </c>
      <c r="AI433" s="516">
        <f t="shared" si="221"/>
        <v>554713365.96312654</v>
      </c>
      <c r="AJ433" s="516">
        <f t="shared" si="221"/>
        <v>1109426731.9262533</v>
      </c>
      <c r="AK433" s="600">
        <f t="shared" si="221"/>
        <v>1664140097.889379</v>
      </c>
    </row>
    <row r="434" spans="1:37" x14ac:dyDescent="0.2">
      <c r="A434" s="426"/>
      <c r="B434" s="1267" t="s">
        <v>1048</v>
      </c>
      <c r="C434" s="465" t="s">
        <v>37</v>
      </c>
      <c r="D434" s="507">
        <f t="shared" ref="D434:S445" si="222">SUMIF($B$183:$B$376,$B434,D$183:D$376)</f>
        <v>0</v>
      </c>
      <c r="E434" s="1272">
        <f t="shared" si="222"/>
        <v>610184.70255943912</v>
      </c>
      <c r="F434" s="507">
        <f t="shared" si="222"/>
        <v>610184.70255943912</v>
      </c>
      <c r="G434" s="507">
        <f t="shared" si="222"/>
        <v>610184.70255943912</v>
      </c>
      <c r="H434" s="507">
        <f t="shared" si="222"/>
        <v>610184.70255943912</v>
      </c>
      <c r="I434" s="507">
        <f t="shared" si="222"/>
        <v>610184.70255943912</v>
      </c>
      <c r="J434" s="507">
        <f t="shared" si="222"/>
        <v>610184.70255943912</v>
      </c>
      <c r="K434" s="507">
        <f t="shared" si="222"/>
        <v>610184.70255943912</v>
      </c>
      <c r="L434" s="507">
        <f t="shared" si="222"/>
        <v>610184.70255943912</v>
      </c>
      <c r="M434" s="507">
        <f t="shared" si="222"/>
        <v>610184.70255943912</v>
      </c>
      <c r="N434" s="507">
        <f t="shared" si="222"/>
        <v>610184.70255943912</v>
      </c>
      <c r="O434" s="507">
        <f t="shared" si="222"/>
        <v>610184.70255943912</v>
      </c>
      <c r="P434" s="507">
        <f t="shared" si="222"/>
        <v>610184.70255943912</v>
      </c>
      <c r="Q434" s="507">
        <f t="shared" si="222"/>
        <v>610184.70255943912</v>
      </c>
      <c r="R434" s="507">
        <f t="shared" si="222"/>
        <v>610184.70255943912</v>
      </c>
      <c r="S434" s="507">
        <f t="shared" si="222"/>
        <v>610184.70255943912</v>
      </c>
      <c r="T434" s="507">
        <f t="shared" ref="G434:AH443" si="223">SUMIF($B$183:$B$376,$B434,T$183:T$376)</f>
        <v>610184.70255943912</v>
      </c>
      <c r="U434" s="507">
        <f t="shared" si="223"/>
        <v>610184.70255943912</v>
      </c>
      <c r="V434" s="507">
        <f t="shared" si="223"/>
        <v>610184.70255943912</v>
      </c>
      <c r="W434" s="507">
        <f t="shared" si="223"/>
        <v>610184.70255943912</v>
      </c>
      <c r="X434" s="507">
        <f t="shared" si="223"/>
        <v>610184.70255943912</v>
      </c>
      <c r="Y434" s="507">
        <f t="shared" si="223"/>
        <v>610184.70255943912</v>
      </c>
      <c r="Z434" s="507">
        <f t="shared" si="223"/>
        <v>610184.70255943912</v>
      </c>
      <c r="AA434" s="507">
        <f t="shared" si="223"/>
        <v>610184.70255943912</v>
      </c>
      <c r="AB434" s="507">
        <f t="shared" si="223"/>
        <v>610184.70255943912</v>
      </c>
      <c r="AC434" s="507">
        <f t="shared" si="223"/>
        <v>610184.70255943912</v>
      </c>
      <c r="AD434" s="507">
        <f t="shared" si="223"/>
        <v>610184.70255943912</v>
      </c>
      <c r="AE434" s="507">
        <f t="shared" si="223"/>
        <v>610184.70255943912</v>
      </c>
      <c r="AF434" s="507">
        <f t="shared" si="223"/>
        <v>610184.70255943912</v>
      </c>
      <c r="AG434" s="507">
        <f t="shared" si="223"/>
        <v>610184.70255943912</v>
      </c>
      <c r="AH434" s="507">
        <f t="shared" si="223"/>
        <v>610184.70255943912</v>
      </c>
      <c r="AI434" s="516">
        <f>SUM(D434:N434)</f>
        <v>6101847.0255943919</v>
      </c>
      <c r="AJ434" s="516">
        <f>SUM(D434:X434)</f>
        <v>12203694.051188786</v>
      </c>
      <c r="AK434" s="600">
        <f>SUM(D434:AH434)</f>
        <v>18305541.076783177</v>
      </c>
    </row>
    <row r="435" spans="1:37" x14ac:dyDescent="0.2">
      <c r="A435" s="426"/>
      <c r="B435" s="478" t="s">
        <v>263</v>
      </c>
      <c r="C435" s="465" t="s">
        <v>37</v>
      </c>
      <c r="D435" s="507">
        <f t="shared" si="222"/>
        <v>0</v>
      </c>
      <c r="E435" s="1272">
        <f t="shared" si="222"/>
        <v>610184.70255943912</v>
      </c>
      <c r="F435" s="507">
        <f t="shared" si="222"/>
        <v>610184.70255943912</v>
      </c>
      <c r="G435" s="507">
        <f t="shared" si="223"/>
        <v>610184.70255943912</v>
      </c>
      <c r="H435" s="507">
        <f t="shared" si="223"/>
        <v>610184.70255943912</v>
      </c>
      <c r="I435" s="507">
        <f t="shared" si="223"/>
        <v>610184.70255943912</v>
      </c>
      <c r="J435" s="507">
        <f t="shared" si="223"/>
        <v>610184.70255943912</v>
      </c>
      <c r="K435" s="507">
        <f t="shared" si="223"/>
        <v>610184.70255943912</v>
      </c>
      <c r="L435" s="507">
        <f t="shared" si="223"/>
        <v>610184.70255943912</v>
      </c>
      <c r="M435" s="507">
        <f t="shared" si="223"/>
        <v>610184.70255943912</v>
      </c>
      <c r="N435" s="507">
        <f t="shared" si="223"/>
        <v>610184.70255943912</v>
      </c>
      <c r="O435" s="507">
        <f t="shared" si="223"/>
        <v>610184.70255943912</v>
      </c>
      <c r="P435" s="507">
        <f t="shared" si="223"/>
        <v>610184.70255943912</v>
      </c>
      <c r="Q435" s="507">
        <f t="shared" si="223"/>
        <v>610184.70255943912</v>
      </c>
      <c r="R435" s="507">
        <f t="shared" si="223"/>
        <v>610184.70255943912</v>
      </c>
      <c r="S435" s="507">
        <f t="shared" si="223"/>
        <v>610184.70255943912</v>
      </c>
      <c r="T435" s="507">
        <f t="shared" si="223"/>
        <v>610184.70255943912</v>
      </c>
      <c r="U435" s="507">
        <f t="shared" si="223"/>
        <v>610184.70255943912</v>
      </c>
      <c r="V435" s="507">
        <f t="shared" si="223"/>
        <v>610184.70255943912</v>
      </c>
      <c r="W435" s="507">
        <f t="shared" si="223"/>
        <v>610184.70255943912</v>
      </c>
      <c r="X435" s="507">
        <f t="shared" si="223"/>
        <v>610184.70255943912</v>
      </c>
      <c r="Y435" s="507">
        <f t="shared" si="223"/>
        <v>610184.70255943912</v>
      </c>
      <c r="Z435" s="507">
        <f t="shared" si="223"/>
        <v>610184.70255943912</v>
      </c>
      <c r="AA435" s="507">
        <f t="shared" si="223"/>
        <v>610184.70255943912</v>
      </c>
      <c r="AB435" s="507">
        <f t="shared" si="223"/>
        <v>610184.70255943912</v>
      </c>
      <c r="AC435" s="507">
        <f t="shared" si="223"/>
        <v>610184.70255943912</v>
      </c>
      <c r="AD435" s="507">
        <f t="shared" si="223"/>
        <v>610184.70255943912</v>
      </c>
      <c r="AE435" s="507">
        <f t="shared" si="223"/>
        <v>610184.70255943912</v>
      </c>
      <c r="AF435" s="507">
        <f t="shared" si="223"/>
        <v>610184.70255943912</v>
      </c>
      <c r="AG435" s="507">
        <f t="shared" si="223"/>
        <v>610184.70255943912</v>
      </c>
      <c r="AH435" s="507">
        <f t="shared" si="223"/>
        <v>610184.70255943912</v>
      </c>
      <c r="AI435" s="516">
        <f>SUM(D435:N435)</f>
        <v>6101847.0255943919</v>
      </c>
      <c r="AJ435" s="516">
        <f>SUM(D435:X435)</f>
        <v>12203694.051188786</v>
      </c>
      <c r="AK435" s="600">
        <f>SUM(D435:AH435)</f>
        <v>18305541.076783177</v>
      </c>
    </row>
    <row r="436" spans="1:37" x14ac:dyDescent="0.2">
      <c r="A436" s="426"/>
      <c r="B436" s="452" t="s">
        <v>356</v>
      </c>
      <c r="C436" s="465" t="s">
        <v>37</v>
      </c>
      <c r="D436" s="507">
        <f t="shared" si="222"/>
        <v>0</v>
      </c>
      <c r="E436" s="1272">
        <f t="shared" si="222"/>
        <v>0</v>
      </c>
      <c r="F436" s="507">
        <f t="shared" si="222"/>
        <v>0</v>
      </c>
      <c r="G436" s="507">
        <f t="shared" si="223"/>
        <v>0</v>
      </c>
      <c r="H436" s="507">
        <f t="shared" si="223"/>
        <v>0</v>
      </c>
      <c r="I436" s="507">
        <f t="shared" si="223"/>
        <v>0</v>
      </c>
      <c r="J436" s="507">
        <f t="shared" si="223"/>
        <v>0</v>
      </c>
      <c r="K436" s="507">
        <f t="shared" si="223"/>
        <v>0</v>
      </c>
      <c r="L436" s="507">
        <f t="shared" si="223"/>
        <v>0</v>
      </c>
      <c r="M436" s="507">
        <f t="shared" si="223"/>
        <v>0</v>
      </c>
      <c r="N436" s="507">
        <f t="shared" si="223"/>
        <v>0</v>
      </c>
      <c r="O436" s="507">
        <f t="shared" si="223"/>
        <v>0</v>
      </c>
      <c r="P436" s="507">
        <f t="shared" si="223"/>
        <v>0</v>
      </c>
      <c r="Q436" s="507">
        <f t="shared" si="223"/>
        <v>0</v>
      </c>
      <c r="R436" s="507">
        <f t="shared" si="223"/>
        <v>0</v>
      </c>
      <c r="S436" s="507">
        <f t="shared" si="223"/>
        <v>0</v>
      </c>
      <c r="T436" s="507">
        <f t="shared" si="223"/>
        <v>0</v>
      </c>
      <c r="U436" s="507">
        <f t="shared" si="223"/>
        <v>0</v>
      </c>
      <c r="V436" s="507">
        <f t="shared" si="223"/>
        <v>0</v>
      </c>
      <c r="W436" s="507">
        <f t="shared" si="223"/>
        <v>0</v>
      </c>
      <c r="X436" s="507">
        <f t="shared" si="223"/>
        <v>0</v>
      </c>
      <c r="Y436" s="507">
        <f t="shared" si="223"/>
        <v>0</v>
      </c>
      <c r="Z436" s="507">
        <f t="shared" si="223"/>
        <v>0</v>
      </c>
      <c r="AA436" s="507">
        <f t="shared" si="223"/>
        <v>0</v>
      </c>
      <c r="AB436" s="507">
        <f t="shared" si="223"/>
        <v>0</v>
      </c>
      <c r="AC436" s="507">
        <f t="shared" si="223"/>
        <v>0</v>
      </c>
      <c r="AD436" s="507">
        <f t="shared" si="223"/>
        <v>0</v>
      </c>
      <c r="AE436" s="507">
        <f t="shared" si="223"/>
        <v>0</v>
      </c>
      <c r="AF436" s="507">
        <f t="shared" si="223"/>
        <v>0</v>
      </c>
      <c r="AG436" s="507">
        <f t="shared" si="223"/>
        <v>0</v>
      </c>
      <c r="AH436" s="507">
        <f t="shared" si="223"/>
        <v>0</v>
      </c>
      <c r="AI436" s="516">
        <f>SUM(D436:N436)</f>
        <v>0</v>
      </c>
      <c r="AJ436" s="516">
        <f>SUM(D436:X436)</f>
        <v>0</v>
      </c>
      <c r="AK436" s="600">
        <f>SUM(D436:AH436)</f>
        <v>0</v>
      </c>
    </row>
    <row r="437" spans="1:37" x14ac:dyDescent="0.2">
      <c r="A437" s="426"/>
      <c r="B437" s="452" t="s">
        <v>355</v>
      </c>
      <c r="C437" s="465" t="s">
        <v>37</v>
      </c>
      <c r="D437" s="507">
        <f t="shared" si="222"/>
        <v>0</v>
      </c>
      <c r="E437" s="1272">
        <f t="shared" si="222"/>
        <v>0</v>
      </c>
      <c r="F437" s="507">
        <f t="shared" si="222"/>
        <v>0</v>
      </c>
      <c r="G437" s="507">
        <f t="shared" si="223"/>
        <v>0</v>
      </c>
      <c r="H437" s="507">
        <f t="shared" si="223"/>
        <v>0</v>
      </c>
      <c r="I437" s="507">
        <f t="shared" si="223"/>
        <v>0</v>
      </c>
      <c r="J437" s="507">
        <f t="shared" si="223"/>
        <v>0</v>
      </c>
      <c r="K437" s="507">
        <f t="shared" si="223"/>
        <v>0</v>
      </c>
      <c r="L437" s="507">
        <f t="shared" si="223"/>
        <v>0</v>
      </c>
      <c r="M437" s="507">
        <f t="shared" si="223"/>
        <v>0</v>
      </c>
      <c r="N437" s="507">
        <f t="shared" si="223"/>
        <v>0</v>
      </c>
      <c r="O437" s="507">
        <f t="shared" si="223"/>
        <v>0</v>
      </c>
      <c r="P437" s="507">
        <f t="shared" si="223"/>
        <v>0</v>
      </c>
      <c r="Q437" s="507">
        <f t="shared" si="223"/>
        <v>0</v>
      </c>
      <c r="R437" s="507">
        <f t="shared" si="223"/>
        <v>0</v>
      </c>
      <c r="S437" s="507">
        <f t="shared" si="223"/>
        <v>0</v>
      </c>
      <c r="T437" s="507">
        <f t="shared" si="223"/>
        <v>0</v>
      </c>
      <c r="U437" s="507">
        <f t="shared" si="223"/>
        <v>0</v>
      </c>
      <c r="V437" s="507">
        <f t="shared" si="223"/>
        <v>0</v>
      </c>
      <c r="W437" s="507">
        <f t="shared" si="223"/>
        <v>0</v>
      </c>
      <c r="X437" s="507">
        <f t="shared" si="223"/>
        <v>0</v>
      </c>
      <c r="Y437" s="507">
        <f t="shared" si="223"/>
        <v>0</v>
      </c>
      <c r="Z437" s="507">
        <f t="shared" si="223"/>
        <v>0</v>
      </c>
      <c r="AA437" s="507">
        <f t="shared" si="223"/>
        <v>0</v>
      </c>
      <c r="AB437" s="507">
        <f t="shared" si="223"/>
        <v>0</v>
      </c>
      <c r="AC437" s="507">
        <f t="shared" si="223"/>
        <v>0</v>
      </c>
      <c r="AD437" s="507">
        <f t="shared" si="223"/>
        <v>0</v>
      </c>
      <c r="AE437" s="507">
        <f t="shared" si="223"/>
        <v>0</v>
      </c>
      <c r="AF437" s="507">
        <f t="shared" si="223"/>
        <v>0</v>
      </c>
      <c r="AG437" s="507">
        <f t="shared" si="223"/>
        <v>0</v>
      </c>
      <c r="AH437" s="507">
        <f t="shared" si="223"/>
        <v>0</v>
      </c>
      <c r="AI437" s="516">
        <f>SUM(D437:N437)</f>
        <v>0</v>
      </c>
      <c r="AJ437" s="516">
        <f>SUM(D437:X437)</f>
        <v>0</v>
      </c>
      <c r="AK437" s="600">
        <f>SUM(D437:AH437)</f>
        <v>0</v>
      </c>
    </row>
    <row r="438" spans="1:37" x14ac:dyDescent="0.2">
      <c r="A438" s="505"/>
      <c r="B438" s="452" t="s">
        <v>339</v>
      </c>
      <c r="C438" s="465" t="s">
        <v>37</v>
      </c>
      <c r="D438" s="507">
        <f t="shared" si="222"/>
        <v>0</v>
      </c>
      <c r="E438" s="1272">
        <f t="shared" si="222"/>
        <v>5378337.2390158912</v>
      </c>
      <c r="F438" s="507">
        <f t="shared" si="222"/>
        <v>5378337.2390158912</v>
      </c>
      <c r="G438" s="507">
        <f t="shared" si="223"/>
        <v>5378337.2390158912</v>
      </c>
      <c r="H438" s="507">
        <f t="shared" si="223"/>
        <v>5378337.2390158912</v>
      </c>
      <c r="I438" s="507">
        <f t="shared" si="223"/>
        <v>5378337.2390158912</v>
      </c>
      <c r="J438" s="507">
        <f t="shared" si="223"/>
        <v>5378337.2390158912</v>
      </c>
      <c r="K438" s="507">
        <f t="shared" si="223"/>
        <v>5378337.2390158912</v>
      </c>
      <c r="L438" s="507">
        <f t="shared" si="223"/>
        <v>5378337.2390158912</v>
      </c>
      <c r="M438" s="507">
        <f t="shared" si="223"/>
        <v>5378337.2390158912</v>
      </c>
      <c r="N438" s="507">
        <f t="shared" si="223"/>
        <v>5378337.2390158912</v>
      </c>
      <c r="O438" s="507">
        <f t="shared" si="223"/>
        <v>5378337.2390158912</v>
      </c>
      <c r="P438" s="507">
        <f t="shared" si="223"/>
        <v>5378337.2390158912</v>
      </c>
      <c r="Q438" s="507">
        <f t="shared" si="223"/>
        <v>5378337.2390158912</v>
      </c>
      <c r="R438" s="507">
        <f t="shared" si="223"/>
        <v>5378337.2390158912</v>
      </c>
      <c r="S438" s="507">
        <f t="shared" si="223"/>
        <v>5378337.2390158912</v>
      </c>
      <c r="T438" s="507">
        <f t="shared" si="223"/>
        <v>5378337.2390158912</v>
      </c>
      <c r="U438" s="507">
        <f t="shared" si="223"/>
        <v>5378337.2390158912</v>
      </c>
      <c r="V438" s="507">
        <f t="shared" si="223"/>
        <v>5378337.2390158912</v>
      </c>
      <c r="W438" s="507">
        <f t="shared" si="223"/>
        <v>5378337.2390158912</v>
      </c>
      <c r="X438" s="507">
        <f t="shared" si="223"/>
        <v>5378337.2390158912</v>
      </c>
      <c r="Y438" s="507">
        <f t="shared" si="223"/>
        <v>5378337.2390158912</v>
      </c>
      <c r="Z438" s="507">
        <f t="shared" si="223"/>
        <v>5378337.2390158912</v>
      </c>
      <c r="AA438" s="507">
        <f t="shared" si="223"/>
        <v>5378337.2390158912</v>
      </c>
      <c r="AB438" s="507">
        <f t="shared" si="223"/>
        <v>5378337.2390158912</v>
      </c>
      <c r="AC438" s="507">
        <f t="shared" si="223"/>
        <v>5378337.2390158912</v>
      </c>
      <c r="AD438" s="507">
        <f t="shared" si="223"/>
        <v>5378337.2390158912</v>
      </c>
      <c r="AE438" s="507">
        <f t="shared" si="223"/>
        <v>5378337.2390158912</v>
      </c>
      <c r="AF438" s="507">
        <f t="shared" si="223"/>
        <v>5378337.2390158912</v>
      </c>
      <c r="AG438" s="507">
        <f t="shared" si="223"/>
        <v>5378337.2390158912</v>
      </c>
      <c r="AH438" s="507">
        <f t="shared" si="223"/>
        <v>5378337.2390158912</v>
      </c>
      <c r="AI438" s="516">
        <f t="shared" ref="AI438:AI447" si="224">SUM(D438:N438)</f>
        <v>53783372.390158914</v>
      </c>
      <c r="AJ438" s="516">
        <f t="shared" ref="AJ438:AJ447" si="225">SUM(D438:X438)</f>
        <v>107566744.78031783</v>
      </c>
      <c r="AK438" s="600">
        <f t="shared" ref="AK438:AK447" si="226">SUM(D438:AH438)</f>
        <v>161350117.17047668</v>
      </c>
    </row>
    <row r="439" spans="1:37" x14ac:dyDescent="0.2">
      <c r="A439" s="505"/>
      <c r="B439" s="452" t="s">
        <v>340</v>
      </c>
      <c r="C439" s="465" t="s">
        <v>37</v>
      </c>
      <c r="D439" s="507">
        <f t="shared" si="222"/>
        <v>0</v>
      </c>
      <c r="E439" s="1272">
        <f t="shared" si="222"/>
        <v>3387748.0037124259</v>
      </c>
      <c r="F439" s="507">
        <f t="shared" si="222"/>
        <v>3387748.0037124259</v>
      </c>
      <c r="G439" s="507">
        <f t="shared" si="223"/>
        <v>3387748.0037124259</v>
      </c>
      <c r="H439" s="507">
        <f t="shared" si="223"/>
        <v>3387748.0037124259</v>
      </c>
      <c r="I439" s="507">
        <f t="shared" si="223"/>
        <v>3387748.0037124259</v>
      </c>
      <c r="J439" s="507">
        <f t="shared" si="223"/>
        <v>3387748.0037124259</v>
      </c>
      <c r="K439" s="507">
        <f t="shared" si="223"/>
        <v>3387748.0037124259</v>
      </c>
      <c r="L439" s="507">
        <f t="shared" si="223"/>
        <v>3387748.0037124259</v>
      </c>
      <c r="M439" s="507">
        <f t="shared" si="223"/>
        <v>3387748.0037124259</v>
      </c>
      <c r="N439" s="507">
        <f t="shared" si="223"/>
        <v>3387748.0037124259</v>
      </c>
      <c r="O439" s="507">
        <f t="shared" si="223"/>
        <v>3387748.0037124259</v>
      </c>
      <c r="P439" s="507">
        <f t="shared" si="223"/>
        <v>3387748.0037124259</v>
      </c>
      <c r="Q439" s="507">
        <f t="shared" si="223"/>
        <v>3387748.0037124259</v>
      </c>
      <c r="R439" s="507">
        <f t="shared" si="223"/>
        <v>3387748.0037124259</v>
      </c>
      <c r="S439" s="507">
        <f t="shared" si="223"/>
        <v>3387748.0037124259</v>
      </c>
      <c r="T439" s="507">
        <f t="shared" si="223"/>
        <v>3387748.0037124259</v>
      </c>
      <c r="U439" s="507">
        <f t="shared" si="223"/>
        <v>3387748.0037124259</v>
      </c>
      <c r="V439" s="507">
        <f t="shared" si="223"/>
        <v>3387748.0037124259</v>
      </c>
      <c r="W439" s="507">
        <f t="shared" si="223"/>
        <v>3387748.0037124259</v>
      </c>
      <c r="X439" s="507">
        <f t="shared" si="223"/>
        <v>3387748.0037124259</v>
      </c>
      <c r="Y439" s="507">
        <f t="shared" si="223"/>
        <v>3387748.0037124259</v>
      </c>
      <c r="Z439" s="507">
        <f t="shared" si="223"/>
        <v>3387748.0037124259</v>
      </c>
      <c r="AA439" s="507">
        <f t="shared" si="223"/>
        <v>3387748.0037124259</v>
      </c>
      <c r="AB439" s="507">
        <f t="shared" si="223"/>
        <v>3387748.0037124259</v>
      </c>
      <c r="AC439" s="507">
        <f t="shared" si="223"/>
        <v>3387748.0037124259</v>
      </c>
      <c r="AD439" s="507">
        <f t="shared" si="223"/>
        <v>3387748.0037124259</v>
      </c>
      <c r="AE439" s="507">
        <f t="shared" si="223"/>
        <v>3387748.0037124259</v>
      </c>
      <c r="AF439" s="507">
        <f t="shared" si="223"/>
        <v>3387748.0037124259</v>
      </c>
      <c r="AG439" s="507">
        <f t="shared" si="223"/>
        <v>3387748.0037124259</v>
      </c>
      <c r="AH439" s="507">
        <f t="shared" si="223"/>
        <v>3387748.0037124259</v>
      </c>
      <c r="AI439" s="516">
        <f t="shared" si="224"/>
        <v>33877480.037124261</v>
      </c>
      <c r="AJ439" s="516">
        <f t="shared" si="225"/>
        <v>67754960.074248493</v>
      </c>
      <c r="AK439" s="600">
        <f t="shared" si="226"/>
        <v>101632440.1113728</v>
      </c>
    </row>
    <row r="440" spans="1:37" x14ac:dyDescent="0.2">
      <c r="A440" s="505"/>
      <c r="B440" s="452" t="s">
        <v>341</v>
      </c>
      <c r="C440" s="465" t="s">
        <v>37</v>
      </c>
      <c r="D440" s="507">
        <f t="shared" si="222"/>
        <v>0</v>
      </c>
      <c r="E440" s="1272">
        <f t="shared" si="222"/>
        <v>919900.11396973208</v>
      </c>
      <c r="F440" s="507">
        <f t="shared" si="222"/>
        <v>919900.11396973208</v>
      </c>
      <c r="G440" s="507">
        <f t="shared" si="223"/>
        <v>919900.11396973208</v>
      </c>
      <c r="H440" s="507">
        <f t="shared" si="223"/>
        <v>919900.11396973208</v>
      </c>
      <c r="I440" s="507">
        <f t="shared" si="223"/>
        <v>919900.11396973208</v>
      </c>
      <c r="J440" s="507">
        <f t="shared" si="223"/>
        <v>919900.11396973208</v>
      </c>
      <c r="K440" s="507">
        <f t="shared" si="223"/>
        <v>919900.11396973208</v>
      </c>
      <c r="L440" s="507">
        <f t="shared" si="223"/>
        <v>919900.11396973208</v>
      </c>
      <c r="M440" s="507">
        <f t="shared" si="223"/>
        <v>919900.11396973208</v>
      </c>
      <c r="N440" s="507">
        <f t="shared" si="223"/>
        <v>919900.11396973208</v>
      </c>
      <c r="O440" s="507">
        <f t="shared" si="223"/>
        <v>919900.11396973208</v>
      </c>
      <c r="P440" s="507">
        <f t="shared" si="223"/>
        <v>919900.11396973208</v>
      </c>
      <c r="Q440" s="507">
        <f t="shared" si="223"/>
        <v>919900.11396973208</v>
      </c>
      <c r="R440" s="507">
        <f t="shared" si="223"/>
        <v>919900.11396973208</v>
      </c>
      <c r="S440" s="507">
        <f t="shared" si="223"/>
        <v>919900.11396973208</v>
      </c>
      <c r="T440" s="507">
        <f t="shared" si="223"/>
        <v>919900.11396973208</v>
      </c>
      <c r="U440" s="507">
        <f t="shared" si="223"/>
        <v>919900.11396973208</v>
      </c>
      <c r="V440" s="507">
        <f t="shared" si="223"/>
        <v>919900.11396973208</v>
      </c>
      <c r="W440" s="507">
        <f t="shared" si="223"/>
        <v>919900.11396973208</v>
      </c>
      <c r="X440" s="507">
        <f t="shared" si="223"/>
        <v>919900.11396973208</v>
      </c>
      <c r="Y440" s="507">
        <f t="shared" si="223"/>
        <v>919900.11396973208</v>
      </c>
      <c r="Z440" s="507">
        <f t="shared" si="223"/>
        <v>919900.11396973208</v>
      </c>
      <c r="AA440" s="507">
        <f t="shared" si="223"/>
        <v>919900.11396973208</v>
      </c>
      <c r="AB440" s="507">
        <f t="shared" si="223"/>
        <v>919900.11396973208</v>
      </c>
      <c r="AC440" s="507">
        <f t="shared" si="223"/>
        <v>919900.11396973208</v>
      </c>
      <c r="AD440" s="507">
        <f t="shared" si="223"/>
        <v>919900.11396973208</v>
      </c>
      <c r="AE440" s="507">
        <f t="shared" si="223"/>
        <v>919900.11396973208</v>
      </c>
      <c r="AF440" s="507">
        <f t="shared" si="223"/>
        <v>919900.11396973208</v>
      </c>
      <c r="AG440" s="507">
        <f t="shared" si="223"/>
        <v>919900.11396973208</v>
      </c>
      <c r="AH440" s="507">
        <f t="shared" si="223"/>
        <v>919900.11396973208</v>
      </c>
      <c r="AI440" s="516">
        <f t="shared" si="224"/>
        <v>9199001.1396973208</v>
      </c>
      <c r="AJ440" s="516">
        <f t="shared" si="225"/>
        <v>18398002.279394642</v>
      </c>
      <c r="AK440" s="600">
        <f t="shared" si="226"/>
        <v>27597003.419091962</v>
      </c>
    </row>
    <row r="441" spans="1:37" x14ac:dyDescent="0.2">
      <c r="B441" s="452" t="s">
        <v>342</v>
      </c>
      <c r="C441" s="465" t="s">
        <v>37</v>
      </c>
      <c r="D441" s="507">
        <f t="shared" si="222"/>
        <v>0</v>
      </c>
      <c r="E441" s="1272">
        <f t="shared" si="222"/>
        <v>368926.48491588648</v>
      </c>
      <c r="F441" s="507">
        <f t="shared" si="222"/>
        <v>368926.48491588648</v>
      </c>
      <c r="G441" s="507">
        <f t="shared" si="223"/>
        <v>368926.48491588648</v>
      </c>
      <c r="H441" s="507">
        <f t="shared" si="223"/>
        <v>368926.48491588648</v>
      </c>
      <c r="I441" s="507">
        <f t="shared" si="223"/>
        <v>368926.48491588648</v>
      </c>
      <c r="J441" s="507">
        <f t="shared" si="223"/>
        <v>368926.48491588648</v>
      </c>
      <c r="K441" s="507">
        <f t="shared" si="223"/>
        <v>368926.48491588648</v>
      </c>
      <c r="L441" s="507">
        <f t="shared" si="223"/>
        <v>368926.48491588648</v>
      </c>
      <c r="M441" s="507">
        <f t="shared" si="223"/>
        <v>368926.48491588648</v>
      </c>
      <c r="N441" s="507">
        <f t="shared" si="223"/>
        <v>368926.48491588648</v>
      </c>
      <c r="O441" s="507">
        <f t="shared" si="223"/>
        <v>368926.48491588648</v>
      </c>
      <c r="P441" s="507">
        <f t="shared" si="223"/>
        <v>368926.48491588648</v>
      </c>
      <c r="Q441" s="507">
        <f t="shared" si="223"/>
        <v>368926.48491588648</v>
      </c>
      <c r="R441" s="507">
        <f t="shared" si="223"/>
        <v>368926.48491588648</v>
      </c>
      <c r="S441" s="507">
        <f t="shared" si="223"/>
        <v>368926.48491588648</v>
      </c>
      <c r="T441" s="507">
        <f t="shared" si="223"/>
        <v>368926.48491588648</v>
      </c>
      <c r="U441" s="507">
        <f t="shared" si="223"/>
        <v>368926.48491588648</v>
      </c>
      <c r="V441" s="507">
        <f t="shared" si="223"/>
        <v>368926.48491588648</v>
      </c>
      <c r="W441" s="507">
        <f t="shared" si="223"/>
        <v>368926.48491588648</v>
      </c>
      <c r="X441" s="507">
        <f t="shared" si="223"/>
        <v>368926.48491588648</v>
      </c>
      <c r="Y441" s="507">
        <f t="shared" si="223"/>
        <v>368926.48491588648</v>
      </c>
      <c r="Z441" s="507">
        <f t="shared" si="223"/>
        <v>368926.48491588648</v>
      </c>
      <c r="AA441" s="507">
        <f t="shared" si="223"/>
        <v>368926.48491588648</v>
      </c>
      <c r="AB441" s="507">
        <f t="shared" si="223"/>
        <v>368926.48491588648</v>
      </c>
      <c r="AC441" s="507">
        <f t="shared" si="223"/>
        <v>368926.48491588648</v>
      </c>
      <c r="AD441" s="507">
        <f t="shared" si="223"/>
        <v>368926.48491588648</v>
      </c>
      <c r="AE441" s="507">
        <f t="shared" si="223"/>
        <v>368926.48491588648</v>
      </c>
      <c r="AF441" s="507">
        <f t="shared" si="223"/>
        <v>368926.48491588648</v>
      </c>
      <c r="AG441" s="507">
        <f t="shared" si="223"/>
        <v>368926.48491588648</v>
      </c>
      <c r="AH441" s="507">
        <f t="shared" si="223"/>
        <v>368926.48491588648</v>
      </c>
      <c r="AI441" s="516">
        <f t="shared" si="224"/>
        <v>3689264.8491588649</v>
      </c>
      <c r="AJ441" s="516">
        <f t="shared" si="225"/>
        <v>7378529.6983177261</v>
      </c>
      <c r="AK441" s="600">
        <f t="shared" si="226"/>
        <v>11067794.547476588</v>
      </c>
    </row>
    <row r="442" spans="1:37" x14ac:dyDescent="0.2">
      <c r="B442" s="452" t="s">
        <v>344</v>
      </c>
      <c r="C442" s="465" t="s">
        <v>37</v>
      </c>
      <c r="D442" s="507">
        <f t="shared" si="222"/>
        <v>0</v>
      </c>
      <c r="E442" s="1272">
        <f t="shared" si="222"/>
        <v>3376720.5573044224</v>
      </c>
      <c r="F442" s="507">
        <f t="shared" si="222"/>
        <v>3376720.5573044224</v>
      </c>
      <c r="G442" s="507">
        <f t="shared" si="223"/>
        <v>3376720.5573044224</v>
      </c>
      <c r="H442" s="507">
        <f t="shared" si="223"/>
        <v>3376720.5573044224</v>
      </c>
      <c r="I442" s="507">
        <f t="shared" si="223"/>
        <v>3376720.5573044224</v>
      </c>
      <c r="J442" s="507">
        <f t="shared" si="223"/>
        <v>3376720.5573044224</v>
      </c>
      <c r="K442" s="507">
        <f t="shared" si="223"/>
        <v>3376720.5573044224</v>
      </c>
      <c r="L442" s="507">
        <f t="shared" si="223"/>
        <v>3376720.5573044224</v>
      </c>
      <c r="M442" s="507">
        <f t="shared" si="223"/>
        <v>3376720.5573044224</v>
      </c>
      <c r="N442" s="507">
        <f t="shared" si="223"/>
        <v>3376720.5573044224</v>
      </c>
      <c r="O442" s="507">
        <f t="shared" si="223"/>
        <v>3376720.5573044224</v>
      </c>
      <c r="P442" s="507">
        <f t="shared" si="223"/>
        <v>3376720.5573044224</v>
      </c>
      <c r="Q442" s="507">
        <f t="shared" si="223"/>
        <v>3376720.5573044224</v>
      </c>
      <c r="R442" s="507">
        <f t="shared" si="223"/>
        <v>3376720.5573044224</v>
      </c>
      <c r="S442" s="507">
        <f t="shared" si="223"/>
        <v>3376720.5573044224</v>
      </c>
      <c r="T442" s="507">
        <f t="shared" si="223"/>
        <v>3376720.5573044224</v>
      </c>
      <c r="U442" s="507">
        <f t="shared" si="223"/>
        <v>3376720.5573044224</v>
      </c>
      <c r="V442" s="507">
        <f t="shared" si="223"/>
        <v>3376720.5573044224</v>
      </c>
      <c r="W442" s="507">
        <f t="shared" si="223"/>
        <v>3376720.5573044224</v>
      </c>
      <c r="X442" s="507">
        <f t="shared" si="223"/>
        <v>3376720.5573044224</v>
      </c>
      <c r="Y442" s="507">
        <f t="shared" si="223"/>
        <v>3376720.5573044224</v>
      </c>
      <c r="Z442" s="507">
        <f t="shared" si="223"/>
        <v>3376720.5573044224</v>
      </c>
      <c r="AA442" s="507">
        <f t="shared" si="223"/>
        <v>3376720.5573044224</v>
      </c>
      <c r="AB442" s="507">
        <f t="shared" si="223"/>
        <v>3376720.5573044224</v>
      </c>
      <c r="AC442" s="507">
        <f t="shared" si="223"/>
        <v>3376720.5573044224</v>
      </c>
      <c r="AD442" s="507">
        <f t="shared" si="223"/>
        <v>3376720.5573044224</v>
      </c>
      <c r="AE442" s="507">
        <f t="shared" si="223"/>
        <v>3376720.5573044224</v>
      </c>
      <c r="AF442" s="507">
        <f t="shared" si="223"/>
        <v>3376720.5573044224</v>
      </c>
      <c r="AG442" s="507">
        <f t="shared" si="223"/>
        <v>3376720.5573044224</v>
      </c>
      <c r="AH442" s="507">
        <f t="shared" si="223"/>
        <v>3376720.5573044224</v>
      </c>
      <c r="AI442" s="516">
        <f t="shared" si="224"/>
        <v>33767205.573044226</v>
      </c>
      <c r="AJ442" s="516">
        <f t="shared" si="225"/>
        <v>67534411.146088421</v>
      </c>
      <c r="AK442" s="600">
        <f t="shared" si="226"/>
        <v>101301616.71913269</v>
      </c>
    </row>
    <row r="443" spans="1:37" s="478" customFormat="1" x14ac:dyDescent="0.2">
      <c r="B443" s="452" t="s">
        <v>345</v>
      </c>
      <c r="C443" s="465" t="s">
        <v>37</v>
      </c>
      <c r="D443" s="507">
        <f t="shared" si="222"/>
        <v>0</v>
      </c>
      <c r="E443" s="1272">
        <f t="shared" si="222"/>
        <v>2817853.3600665354</v>
      </c>
      <c r="F443" s="507">
        <f t="shared" si="222"/>
        <v>2817853.3600665354</v>
      </c>
      <c r="G443" s="507">
        <f t="shared" si="223"/>
        <v>2817853.3600665354</v>
      </c>
      <c r="H443" s="507">
        <f t="shared" si="223"/>
        <v>2817853.3600665354</v>
      </c>
      <c r="I443" s="507">
        <f t="shared" si="223"/>
        <v>2817853.3600665354</v>
      </c>
      <c r="J443" s="507">
        <f t="shared" si="223"/>
        <v>2817853.3600665354</v>
      </c>
      <c r="K443" s="507">
        <f t="shared" si="223"/>
        <v>2817853.3600665354</v>
      </c>
      <c r="L443" s="507">
        <f t="shared" si="223"/>
        <v>2817853.3600665354</v>
      </c>
      <c r="M443" s="507">
        <f t="shared" si="223"/>
        <v>2817853.3600665354</v>
      </c>
      <c r="N443" s="507">
        <f t="shared" si="223"/>
        <v>2817853.3600665354</v>
      </c>
      <c r="O443" s="507">
        <f t="shared" si="223"/>
        <v>2817853.3600665354</v>
      </c>
      <c r="P443" s="507">
        <f t="shared" si="223"/>
        <v>2817853.3600665354</v>
      </c>
      <c r="Q443" s="507">
        <f t="shared" si="223"/>
        <v>2817853.3600665354</v>
      </c>
      <c r="R443" s="507">
        <f t="shared" si="223"/>
        <v>2817853.3600665354</v>
      </c>
      <c r="S443" s="507">
        <f t="shared" si="223"/>
        <v>2817853.3600665354</v>
      </c>
      <c r="T443" s="507">
        <f t="shared" si="223"/>
        <v>2817853.3600665354</v>
      </c>
      <c r="U443" s="507">
        <f t="shared" si="223"/>
        <v>2817853.3600665354</v>
      </c>
      <c r="V443" s="507">
        <f t="shared" si="223"/>
        <v>2817853.3600665354</v>
      </c>
      <c r="W443" s="507">
        <f t="shared" ref="G443:AH445" si="227">SUMIF($B$183:$B$376,$B443,W$183:W$376)</f>
        <v>2817853.3600665354</v>
      </c>
      <c r="X443" s="507">
        <f t="shared" si="227"/>
        <v>2817853.3600665354</v>
      </c>
      <c r="Y443" s="507">
        <f t="shared" si="227"/>
        <v>2817853.3600665354</v>
      </c>
      <c r="Z443" s="507">
        <f t="shared" si="227"/>
        <v>2817853.3600665354</v>
      </c>
      <c r="AA443" s="507">
        <f t="shared" si="227"/>
        <v>2817853.3600665354</v>
      </c>
      <c r="AB443" s="507">
        <f t="shared" si="227"/>
        <v>2817853.3600665354</v>
      </c>
      <c r="AC443" s="507">
        <f t="shared" si="227"/>
        <v>2817853.3600665354</v>
      </c>
      <c r="AD443" s="507">
        <f t="shared" si="227"/>
        <v>2817853.3600665354</v>
      </c>
      <c r="AE443" s="507">
        <f t="shared" si="227"/>
        <v>2817853.3600665354</v>
      </c>
      <c r="AF443" s="507">
        <f t="shared" si="227"/>
        <v>2817853.3600665354</v>
      </c>
      <c r="AG443" s="507">
        <f t="shared" si="227"/>
        <v>2817853.3600665354</v>
      </c>
      <c r="AH443" s="507">
        <f t="shared" si="227"/>
        <v>2817853.3600665354</v>
      </c>
      <c r="AI443" s="516">
        <f t="shared" si="224"/>
        <v>28178533.600665361</v>
      </c>
      <c r="AJ443" s="516">
        <f t="shared" si="225"/>
        <v>56357067.201330699</v>
      </c>
      <c r="AK443" s="600">
        <f t="shared" si="226"/>
        <v>84535600.801996037</v>
      </c>
    </row>
    <row r="444" spans="1:37" x14ac:dyDescent="0.2">
      <c r="B444" s="452" t="s">
        <v>346</v>
      </c>
      <c r="C444" s="465" t="s">
        <v>37</v>
      </c>
      <c r="D444" s="507">
        <f t="shared" si="222"/>
        <v>0</v>
      </c>
      <c r="E444" s="1272">
        <f t="shared" si="222"/>
        <v>668757.85012906929</v>
      </c>
      <c r="F444" s="507">
        <f t="shared" si="222"/>
        <v>668757.85012906929</v>
      </c>
      <c r="G444" s="507">
        <f t="shared" si="227"/>
        <v>668757.85012906929</v>
      </c>
      <c r="H444" s="507">
        <f t="shared" si="227"/>
        <v>668757.85012906929</v>
      </c>
      <c r="I444" s="507">
        <f t="shared" si="227"/>
        <v>668757.85012906929</v>
      </c>
      <c r="J444" s="507">
        <f t="shared" si="227"/>
        <v>668757.85012906929</v>
      </c>
      <c r="K444" s="507">
        <f t="shared" si="227"/>
        <v>668757.85012906929</v>
      </c>
      <c r="L444" s="507">
        <f t="shared" si="227"/>
        <v>668757.85012906929</v>
      </c>
      <c r="M444" s="507">
        <f t="shared" si="227"/>
        <v>668757.85012906929</v>
      </c>
      <c r="N444" s="507">
        <f t="shared" si="227"/>
        <v>668757.85012906929</v>
      </c>
      <c r="O444" s="507">
        <f t="shared" si="227"/>
        <v>668757.85012906929</v>
      </c>
      <c r="P444" s="507">
        <f t="shared" si="227"/>
        <v>668757.85012906929</v>
      </c>
      <c r="Q444" s="507">
        <f t="shared" si="227"/>
        <v>668757.85012906929</v>
      </c>
      <c r="R444" s="507">
        <f t="shared" si="227"/>
        <v>668757.85012906929</v>
      </c>
      <c r="S444" s="507">
        <f t="shared" si="227"/>
        <v>668757.85012906929</v>
      </c>
      <c r="T444" s="507">
        <f t="shared" si="227"/>
        <v>668757.85012906929</v>
      </c>
      <c r="U444" s="507">
        <f t="shared" si="227"/>
        <v>668757.85012906929</v>
      </c>
      <c r="V444" s="507">
        <f t="shared" si="227"/>
        <v>668757.85012906929</v>
      </c>
      <c r="W444" s="507">
        <f t="shared" si="227"/>
        <v>668757.85012906929</v>
      </c>
      <c r="X444" s="507">
        <f t="shared" si="227"/>
        <v>668757.85012906929</v>
      </c>
      <c r="Y444" s="507">
        <f t="shared" si="227"/>
        <v>668757.85012906929</v>
      </c>
      <c r="Z444" s="507">
        <f t="shared" si="227"/>
        <v>668757.85012906929</v>
      </c>
      <c r="AA444" s="507">
        <f t="shared" si="227"/>
        <v>668757.85012906929</v>
      </c>
      <c r="AB444" s="507">
        <f t="shared" si="227"/>
        <v>668757.85012906929</v>
      </c>
      <c r="AC444" s="507">
        <f t="shared" si="227"/>
        <v>668757.85012906929</v>
      </c>
      <c r="AD444" s="507">
        <f t="shared" si="227"/>
        <v>668757.85012906929</v>
      </c>
      <c r="AE444" s="507">
        <f t="shared" si="227"/>
        <v>668757.85012906929</v>
      </c>
      <c r="AF444" s="507">
        <f t="shared" si="227"/>
        <v>668757.85012906929</v>
      </c>
      <c r="AG444" s="507">
        <f t="shared" si="227"/>
        <v>668757.85012906929</v>
      </c>
      <c r="AH444" s="507">
        <f t="shared" si="227"/>
        <v>668757.85012906929</v>
      </c>
      <c r="AI444" s="516">
        <f t="shared" si="224"/>
        <v>6687578.5012906939</v>
      </c>
      <c r="AJ444" s="516">
        <f t="shared" si="225"/>
        <v>13375157.002581391</v>
      </c>
      <c r="AK444" s="600">
        <f t="shared" si="226"/>
        <v>20062735.503872082</v>
      </c>
    </row>
    <row r="445" spans="1:37" x14ac:dyDescent="0.2">
      <c r="B445" s="452" t="s">
        <v>347</v>
      </c>
      <c r="C445" s="465" t="s">
        <v>37</v>
      </c>
      <c r="D445" s="507">
        <f t="shared" si="222"/>
        <v>0</v>
      </c>
      <c r="E445" s="1272">
        <f t="shared" si="222"/>
        <v>242225.08686868602</v>
      </c>
      <c r="F445" s="507">
        <f t="shared" si="222"/>
        <v>242225.08686868602</v>
      </c>
      <c r="G445" s="507">
        <f t="shared" si="227"/>
        <v>242225.08686868602</v>
      </c>
      <c r="H445" s="507">
        <f t="shared" si="227"/>
        <v>242225.08686868602</v>
      </c>
      <c r="I445" s="507">
        <f t="shared" si="227"/>
        <v>242225.08686868602</v>
      </c>
      <c r="J445" s="507">
        <f t="shared" si="227"/>
        <v>242225.08686868602</v>
      </c>
      <c r="K445" s="507">
        <f t="shared" si="227"/>
        <v>242225.08686868602</v>
      </c>
      <c r="L445" s="507">
        <f t="shared" si="227"/>
        <v>242225.08686868602</v>
      </c>
      <c r="M445" s="507">
        <f t="shared" si="227"/>
        <v>242225.08686868602</v>
      </c>
      <c r="N445" s="507">
        <f t="shared" si="227"/>
        <v>242225.08686868602</v>
      </c>
      <c r="O445" s="507">
        <f t="shared" si="227"/>
        <v>242225.08686868602</v>
      </c>
      <c r="P445" s="507">
        <f t="shared" si="227"/>
        <v>242225.08686868602</v>
      </c>
      <c r="Q445" s="507">
        <f t="shared" si="227"/>
        <v>242225.08686868602</v>
      </c>
      <c r="R445" s="507">
        <f t="shared" si="227"/>
        <v>242225.08686868602</v>
      </c>
      <c r="S445" s="507">
        <f t="shared" si="227"/>
        <v>242225.08686868602</v>
      </c>
      <c r="T445" s="507">
        <f t="shared" si="227"/>
        <v>242225.08686868602</v>
      </c>
      <c r="U445" s="507">
        <f t="shared" si="227"/>
        <v>242225.08686868602</v>
      </c>
      <c r="V445" s="507">
        <f t="shared" si="227"/>
        <v>242225.08686868602</v>
      </c>
      <c r="W445" s="507">
        <f t="shared" si="227"/>
        <v>242225.08686868602</v>
      </c>
      <c r="X445" s="507">
        <f t="shared" si="227"/>
        <v>242225.08686868602</v>
      </c>
      <c r="Y445" s="507">
        <f t="shared" si="227"/>
        <v>242225.08686868602</v>
      </c>
      <c r="Z445" s="507">
        <f t="shared" si="227"/>
        <v>242225.08686868602</v>
      </c>
      <c r="AA445" s="507">
        <f t="shared" si="227"/>
        <v>242225.08686868602</v>
      </c>
      <c r="AB445" s="507">
        <f t="shared" si="227"/>
        <v>242225.08686868602</v>
      </c>
      <c r="AC445" s="507">
        <f t="shared" si="227"/>
        <v>242225.08686868602</v>
      </c>
      <c r="AD445" s="507">
        <f t="shared" si="227"/>
        <v>242225.08686868602</v>
      </c>
      <c r="AE445" s="507">
        <f t="shared" si="227"/>
        <v>242225.08686868602</v>
      </c>
      <c r="AF445" s="507">
        <f t="shared" si="227"/>
        <v>242225.08686868602</v>
      </c>
      <c r="AG445" s="507">
        <f t="shared" si="227"/>
        <v>242225.08686868602</v>
      </c>
      <c r="AH445" s="507">
        <f t="shared" si="227"/>
        <v>242225.08686868602</v>
      </c>
      <c r="AI445" s="516">
        <f t="shared" si="224"/>
        <v>2422250.8686868609</v>
      </c>
      <c r="AJ445" s="516">
        <f t="shared" si="225"/>
        <v>4844501.7373737209</v>
      </c>
      <c r="AK445" s="600">
        <f t="shared" si="226"/>
        <v>7266752.6060605776</v>
      </c>
    </row>
    <row r="446" spans="1:37" x14ac:dyDescent="0.2">
      <c r="A446" s="1256" t="s">
        <v>1049</v>
      </c>
      <c r="B446" s="452"/>
      <c r="C446" s="465" t="s">
        <v>37</v>
      </c>
      <c r="D446" s="507">
        <f t="shared" ref="D446:S447" si="228">SUMIF($A$183:$A$376,$A446,D$183:D$376)</f>
        <v>0</v>
      </c>
      <c r="E446" s="1272">
        <f>SUMIF($A$183:$A$376,$A446,E$183:E$376)</f>
        <v>17160468.69598265</v>
      </c>
      <c r="F446" s="507">
        <f t="shared" si="228"/>
        <v>17160468.69598265</v>
      </c>
      <c r="G446" s="507">
        <f t="shared" si="228"/>
        <v>17160468.69598265</v>
      </c>
      <c r="H446" s="507">
        <f t="shared" si="228"/>
        <v>17160468.69598265</v>
      </c>
      <c r="I446" s="507">
        <f t="shared" si="228"/>
        <v>17160468.69598265</v>
      </c>
      <c r="J446" s="507">
        <f t="shared" si="228"/>
        <v>17160468.69598265</v>
      </c>
      <c r="K446" s="507">
        <f t="shared" si="228"/>
        <v>17160468.69598265</v>
      </c>
      <c r="L446" s="507">
        <f t="shared" si="228"/>
        <v>17160468.69598265</v>
      </c>
      <c r="M446" s="507">
        <f t="shared" si="228"/>
        <v>17160468.69598265</v>
      </c>
      <c r="N446" s="507">
        <f t="shared" si="228"/>
        <v>17160468.69598265</v>
      </c>
      <c r="O446" s="507">
        <f t="shared" si="228"/>
        <v>17160468.69598265</v>
      </c>
      <c r="P446" s="507">
        <f t="shared" si="228"/>
        <v>17160468.69598265</v>
      </c>
      <c r="Q446" s="507">
        <f t="shared" si="228"/>
        <v>17160468.69598265</v>
      </c>
      <c r="R446" s="507">
        <f t="shared" si="228"/>
        <v>17160468.69598265</v>
      </c>
      <c r="S446" s="507">
        <f t="shared" si="228"/>
        <v>17160468.69598265</v>
      </c>
      <c r="T446" s="507">
        <f t="shared" ref="G446:AH447" si="229">SUMIF($A$183:$A$376,$A446,T$183:T$376)</f>
        <v>17160468.69598265</v>
      </c>
      <c r="U446" s="507">
        <f t="shared" si="229"/>
        <v>17160468.69598265</v>
      </c>
      <c r="V446" s="507">
        <f t="shared" si="229"/>
        <v>17160468.69598265</v>
      </c>
      <c r="W446" s="507">
        <f t="shared" si="229"/>
        <v>17160468.69598265</v>
      </c>
      <c r="X446" s="507">
        <f t="shared" si="229"/>
        <v>17160468.69598265</v>
      </c>
      <c r="Y446" s="507">
        <f t="shared" si="229"/>
        <v>17160468.69598265</v>
      </c>
      <c r="Z446" s="507">
        <f t="shared" si="229"/>
        <v>17160468.69598265</v>
      </c>
      <c r="AA446" s="507">
        <f t="shared" si="229"/>
        <v>17160468.69598265</v>
      </c>
      <c r="AB446" s="507">
        <f t="shared" si="229"/>
        <v>17160468.69598265</v>
      </c>
      <c r="AC446" s="507">
        <f t="shared" si="229"/>
        <v>17160468.69598265</v>
      </c>
      <c r="AD446" s="507">
        <f t="shared" si="229"/>
        <v>17160468.69598265</v>
      </c>
      <c r="AE446" s="507">
        <f t="shared" si="229"/>
        <v>17160468.69598265</v>
      </c>
      <c r="AF446" s="507">
        <f t="shared" si="229"/>
        <v>17160468.69598265</v>
      </c>
      <c r="AG446" s="507">
        <f t="shared" si="229"/>
        <v>17160468.69598265</v>
      </c>
      <c r="AH446" s="507">
        <f t="shared" si="229"/>
        <v>17160468.69598265</v>
      </c>
      <c r="AI446" s="516">
        <f t="shared" si="224"/>
        <v>171604686.95982647</v>
      </c>
      <c r="AJ446" s="516">
        <f t="shared" si="225"/>
        <v>343209373.91965282</v>
      </c>
      <c r="AK446" s="600">
        <f t="shared" si="226"/>
        <v>514814060.87947917</v>
      </c>
    </row>
    <row r="447" spans="1:37" x14ac:dyDescent="0.2">
      <c r="A447" s="1257" t="s">
        <v>1051</v>
      </c>
      <c r="B447" s="1258"/>
      <c r="C447" s="1259" t="s">
        <v>37</v>
      </c>
      <c r="D447" s="1254">
        <f t="shared" si="228"/>
        <v>0</v>
      </c>
      <c r="E447" s="1273">
        <f>SUMIF($A$183:$A$376,$A447,E$183:E$376)</f>
        <v>118436131.87278163</v>
      </c>
      <c r="F447" s="1254">
        <f t="shared" si="228"/>
        <v>118436131.87278163</v>
      </c>
      <c r="G447" s="1254">
        <f t="shared" si="229"/>
        <v>118436131.87278163</v>
      </c>
      <c r="H447" s="1254">
        <f t="shared" si="229"/>
        <v>118436131.87278163</v>
      </c>
      <c r="I447" s="1254">
        <f t="shared" si="229"/>
        <v>118436131.87278163</v>
      </c>
      <c r="J447" s="1254">
        <f t="shared" si="229"/>
        <v>118436131.87278163</v>
      </c>
      <c r="K447" s="1254">
        <f t="shared" si="229"/>
        <v>118436131.87278163</v>
      </c>
      <c r="L447" s="1254">
        <f t="shared" si="229"/>
        <v>118436131.87278163</v>
      </c>
      <c r="M447" s="1254">
        <f t="shared" si="229"/>
        <v>118436131.87278163</v>
      </c>
      <c r="N447" s="1254">
        <f t="shared" si="229"/>
        <v>118436131.87278163</v>
      </c>
      <c r="O447" s="1254">
        <f t="shared" si="229"/>
        <v>118436131.87278163</v>
      </c>
      <c r="P447" s="1254">
        <f t="shared" si="229"/>
        <v>118436131.87278163</v>
      </c>
      <c r="Q447" s="1254">
        <f t="shared" si="229"/>
        <v>118436131.87278163</v>
      </c>
      <c r="R447" s="1254">
        <f t="shared" si="229"/>
        <v>118436131.87278163</v>
      </c>
      <c r="S447" s="1254">
        <f t="shared" si="229"/>
        <v>118436131.87278163</v>
      </c>
      <c r="T447" s="1254">
        <f t="shared" si="229"/>
        <v>118436131.87278163</v>
      </c>
      <c r="U447" s="1254">
        <f t="shared" si="229"/>
        <v>118436131.87278163</v>
      </c>
      <c r="V447" s="1254">
        <f t="shared" si="229"/>
        <v>118436131.87278163</v>
      </c>
      <c r="W447" s="1254">
        <f t="shared" si="229"/>
        <v>118436131.87278163</v>
      </c>
      <c r="X447" s="1254">
        <f t="shared" si="229"/>
        <v>118436131.87278163</v>
      </c>
      <c r="Y447" s="1254">
        <f t="shared" si="229"/>
        <v>118436131.87278163</v>
      </c>
      <c r="Z447" s="1254">
        <f t="shared" si="229"/>
        <v>118436131.87278163</v>
      </c>
      <c r="AA447" s="1254">
        <f t="shared" si="229"/>
        <v>118436131.87278163</v>
      </c>
      <c r="AB447" s="1254">
        <f t="shared" si="229"/>
        <v>118436131.87278163</v>
      </c>
      <c r="AC447" s="1254">
        <f t="shared" si="229"/>
        <v>118436131.87278163</v>
      </c>
      <c r="AD447" s="1254">
        <f t="shared" si="229"/>
        <v>118436131.87278163</v>
      </c>
      <c r="AE447" s="1254">
        <f t="shared" si="229"/>
        <v>118436131.87278163</v>
      </c>
      <c r="AF447" s="1254">
        <f t="shared" si="229"/>
        <v>118436131.87278163</v>
      </c>
      <c r="AG447" s="1254">
        <f t="shared" si="229"/>
        <v>118436131.87278163</v>
      </c>
      <c r="AH447" s="1254">
        <f t="shared" si="229"/>
        <v>118436131.87278163</v>
      </c>
      <c r="AI447" s="515">
        <f t="shared" si="224"/>
        <v>1184361318.7278163</v>
      </c>
      <c r="AJ447" s="515">
        <f t="shared" si="225"/>
        <v>2368722637.4556336</v>
      </c>
      <c r="AK447" s="515">
        <f t="shared" si="226"/>
        <v>3553083956.1834512</v>
      </c>
    </row>
    <row r="448" spans="1:37" x14ac:dyDescent="0.2">
      <c r="A448" s="1251" t="s">
        <v>284</v>
      </c>
      <c r="B448" s="1258"/>
      <c r="C448" s="1259" t="s">
        <v>37</v>
      </c>
      <c r="D448" s="1254">
        <f t="shared" ref="D448" si="230">SUM(D447,D446)</f>
        <v>0</v>
      </c>
      <c r="E448" s="1254">
        <f>SUM(E447,E446)</f>
        <v>135596600.56876427</v>
      </c>
      <c r="F448" s="1254">
        <f t="shared" ref="F448:AK448" si="231">SUM(F447,F446)</f>
        <v>135596600.56876427</v>
      </c>
      <c r="G448" s="1254">
        <f t="shared" si="231"/>
        <v>135596600.56876427</v>
      </c>
      <c r="H448" s="1254">
        <f t="shared" si="231"/>
        <v>135596600.56876427</v>
      </c>
      <c r="I448" s="1254">
        <f t="shared" si="231"/>
        <v>135596600.56876427</v>
      </c>
      <c r="J448" s="1254">
        <f t="shared" si="231"/>
        <v>135596600.56876427</v>
      </c>
      <c r="K448" s="1254">
        <f t="shared" si="231"/>
        <v>135596600.56876427</v>
      </c>
      <c r="L448" s="1254">
        <f t="shared" si="231"/>
        <v>135596600.56876427</v>
      </c>
      <c r="M448" s="1254">
        <f t="shared" si="231"/>
        <v>135596600.56876427</v>
      </c>
      <c r="N448" s="1254">
        <f t="shared" si="231"/>
        <v>135596600.56876427</v>
      </c>
      <c r="O448" s="1254">
        <f t="shared" si="231"/>
        <v>135596600.56876427</v>
      </c>
      <c r="P448" s="1254">
        <f t="shared" si="231"/>
        <v>135596600.56876427</v>
      </c>
      <c r="Q448" s="1254">
        <f t="shared" si="231"/>
        <v>135596600.56876427</v>
      </c>
      <c r="R448" s="1254">
        <f t="shared" si="231"/>
        <v>135596600.56876427</v>
      </c>
      <c r="S448" s="1254">
        <f t="shared" si="231"/>
        <v>135596600.56876427</v>
      </c>
      <c r="T448" s="1254">
        <f t="shared" si="231"/>
        <v>135596600.56876427</v>
      </c>
      <c r="U448" s="1254">
        <f t="shared" si="231"/>
        <v>135596600.56876427</v>
      </c>
      <c r="V448" s="1254">
        <f t="shared" si="231"/>
        <v>135596600.56876427</v>
      </c>
      <c r="W448" s="1254">
        <f t="shared" si="231"/>
        <v>135596600.56876427</v>
      </c>
      <c r="X448" s="1254">
        <f t="shared" si="231"/>
        <v>135596600.56876427</v>
      </c>
      <c r="Y448" s="1254">
        <f t="shared" si="231"/>
        <v>135596600.56876427</v>
      </c>
      <c r="Z448" s="1254">
        <f t="shared" si="231"/>
        <v>135596600.56876427</v>
      </c>
      <c r="AA448" s="1254">
        <f t="shared" si="231"/>
        <v>135596600.56876427</v>
      </c>
      <c r="AB448" s="1254">
        <f t="shared" si="231"/>
        <v>135596600.56876427</v>
      </c>
      <c r="AC448" s="1254">
        <f t="shared" si="231"/>
        <v>135596600.56876427</v>
      </c>
      <c r="AD448" s="1254">
        <f t="shared" si="231"/>
        <v>135596600.56876427</v>
      </c>
      <c r="AE448" s="1254">
        <f t="shared" si="231"/>
        <v>135596600.56876427</v>
      </c>
      <c r="AF448" s="1254">
        <f t="shared" si="231"/>
        <v>135596600.56876427</v>
      </c>
      <c r="AG448" s="1254">
        <f t="shared" si="231"/>
        <v>135596600.56876427</v>
      </c>
      <c r="AH448" s="1254">
        <f t="shared" si="231"/>
        <v>135596600.56876427</v>
      </c>
      <c r="AI448" s="1279">
        <f t="shared" si="231"/>
        <v>1355966005.6876428</v>
      </c>
      <c r="AJ448" s="1279">
        <f t="shared" si="231"/>
        <v>2711932011.3752866</v>
      </c>
      <c r="AK448" s="1279">
        <f t="shared" si="231"/>
        <v>4067898017.0629301</v>
      </c>
    </row>
    <row r="449" spans="1:37" x14ac:dyDescent="0.2">
      <c r="A449" s="1266" t="s">
        <v>202</v>
      </c>
      <c r="B449" s="426"/>
      <c r="C449" s="464" t="s">
        <v>37</v>
      </c>
      <c r="D449" s="507">
        <f>D273</f>
        <v>0</v>
      </c>
      <c r="E449" s="507">
        <f t="shared" ref="E449:F449" si="232">E273</f>
        <v>41089878.960231602</v>
      </c>
      <c r="F449" s="507">
        <f t="shared" si="232"/>
        <v>41089878.960231602</v>
      </c>
      <c r="G449" s="507">
        <f t="shared" ref="G449:AK460" si="233">G273</f>
        <v>41089878.960231602</v>
      </c>
      <c r="H449" s="507">
        <f t="shared" si="233"/>
        <v>41089878.960231602</v>
      </c>
      <c r="I449" s="507">
        <f t="shared" si="233"/>
        <v>41089878.960231602</v>
      </c>
      <c r="J449" s="507">
        <f t="shared" si="233"/>
        <v>41089878.960231602</v>
      </c>
      <c r="K449" s="507">
        <f t="shared" si="233"/>
        <v>41089878.960231602</v>
      </c>
      <c r="L449" s="507">
        <f t="shared" si="233"/>
        <v>41089878.960231602</v>
      </c>
      <c r="M449" s="507">
        <f t="shared" si="233"/>
        <v>41089878.960231602</v>
      </c>
      <c r="N449" s="507">
        <f t="shared" si="233"/>
        <v>41089878.960231602</v>
      </c>
      <c r="O449" s="507">
        <f t="shared" si="233"/>
        <v>41089878.960231602</v>
      </c>
      <c r="P449" s="507">
        <f t="shared" si="233"/>
        <v>41089878.960231602</v>
      </c>
      <c r="Q449" s="507">
        <f t="shared" si="233"/>
        <v>41089878.960231602</v>
      </c>
      <c r="R449" s="507">
        <f t="shared" si="233"/>
        <v>41089878.960231602</v>
      </c>
      <c r="S449" s="507">
        <f t="shared" si="233"/>
        <v>41089878.960231602</v>
      </c>
      <c r="T449" s="507">
        <f t="shared" si="233"/>
        <v>41089878.960231602</v>
      </c>
      <c r="U449" s="507">
        <f t="shared" si="233"/>
        <v>41089878.960231602</v>
      </c>
      <c r="V449" s="507">
        <f t="shared" si="233"/>
        <v>41089878.960231602</v>
      </c>
      <c r="W449" s="507">
        <f t="shared" si="233"/>
        <v>41089878.960231602</v>
      </c>
      <c r="X449" s="507">
        <f t="shared" si="233"/>
        <v>41089878.960231602</v>
      </c>
      <c r="Y449" s="507">
        <f t="shared" si="233"/>
        <v>41089878.960231602</v>
      </c>
      <c r="Z449" s="507">
        <f t="shared" si="233"/>
        <v>41089878.960231602</v>
      </c>
      <c r="AA449" s="507">
        <f t="shared" si="233"/>
        <v>41089878.960231602</v>
      </c>
      <c r="AB449" s="507">
        <f t="shared" si="233"/>
        <v>41089878.960231602</v>
      </c>
      <c r="AC449" s="507">
        <f t="shared" si="233"/>
        <v>41089878.960231602</v>
      </c>
      <c r="AD449" s="507">
        <f t="shared" si="233"/>
        <v>41089878.960231602</v>
      </c>
      <c r="AE449" s="507">
        <f t="shared" si="233"/>
        <v>41089878.960231602</v>
      </c>
      <c r="AF449" s="507">
        <f t="shared" si="233"/>
        <v>41089878.960231602</v>
      </c>
      <c r="AG449" s="507">
        <f t="shared" si="233"/>
        <v>41089878.960231602</v>
      </c>
      <c r="AH449" s="507">
        <f t="shared" si="233"/>
        <v>41089878.960231602</v>
      </c>
      <c r="AI449" s="558">
        <f t="shared" si="233"/>
        <v>410898789.60231602</v>
      </c>
      <c r="AJ449" s="558">
        <f t="shared" si="233"/>
        <v>821797579.20463181</v>
      </c>
      <c r="AK449" s="542">
        <f t="shared" si="233"/>
        <v>1232696368.8069472</v>
      </c>
    </row>
    <row r="450" spans="1:37" x14ac:dyDescent="0.2">
      <c r="A450" s="1271" t="s">
        <v>265</v>
      </c>
      <c r="B450" s="426"/>
      <c r="C450" s="464" t="s">
        <v>37</v>
      </c>
      <c r="D450" s="507">
        <f t="shared" ref="D450:F460" si="234">D274</f>
        <v>0</v>
      </c>
      <c r="E450" s="507">
        <f t="shared" si="234"/>
        <v>32871903.168185282</v>
      </c>
      <c r="F450" s="507">
        <f t="shared" si="234"/>
        <v>32871903.168185282</v>
      </c>
      <c r="G450" s="507">
        <f t="shared" ref="G450:AH450" si="235">G274</f>
        <v>32871903.168185282</v>
      </c>
      <c r="H450" s="507">
        <f t="shared" si="235"/>
        <v>32871903.168185282</v>
      </c>
      <c r="I450" s="507">
        <f t="shared" si="235"/>
        <v>32871903.168185282</v>
      </c>
      <c r="J450" s="507">
        <f t="shared" si="235"/>
        <v>32871903.168185282</v>
      </c>
      <c r="K450" s="507">
        <f t="shared" si="235"/>
        <v>32871903.168185282</v>
      </c>
      <c r="L450" s="507">
        <f t="shared" si="235"/>
        <v>32871903.168185282</v>
      </c>
      <c r="M450" s="507">
        <f t="shared" si="235"/>
        <v>32871903.168185282</v>
      </c>
      <c r="N450" s="507">
        <f t="shared" si="235"/>
        <v>32871903.168185282</v>
      </c>
      <c r="O450" s="507">
        <f t="shared" si="235"/>
        <v>32871903.168185282</v>
      </c>
      <c r="P450" s="507">
        <f t="shared" si="235"/>
        <v>32871903.168185282</v>
      </c>
      <c r="Q450" s="507">
        <f t="shared" si="235"/>
        <v>32871903.168185282</v>
      </c>
      <c r="R450" s="507">
        <f t="shared" si="235"/>
        <v>32871903.168185282</v>
      </c>
      <c r="S450" s="507">
        <f t="shared" si="235"/>
        <v>32871903.168185282</v>
      </c>
      <c r="T450" s="507">
        <f t="shared" si="235"/>
        <v>32871903.168185282</v>
      </c>
      <c r="U450" s="507">
        <f t="shared" si="235"/>
        <v>32871903.168185282</v>
      </c>
      <c r="V450" s="507">
        <f t="shared" si="235"/>
        <v>32871903.168185282</v>
      </c>
      <c r="W450" s="507">
        <f t="shared" si="235"/>
        <v>32871903.168185282</v>
      </c>
      <c r="X450" s="507">
        <f t="shared" si="235"/>
        <v>32871903.168185282</v>
      </c>
      <c r="Y450" s="507">
        <f t="shared" si="235"/>
        <v>32871903.168185282</v>
      </c>
      <c r="Z450" s="507">
        <f t="shared" si="235"/>
        <v>32871903.168185282</v>
      </c>
      <c r="AA450" s="507">
        <f t="shared" si="235"/>
        <v>32871903.168185282</v>
      </c>
      <c r="AB450" s="507">
        <f t="shared" si="235"/>
        <v>32871903.168185282</v>
      </c>
      <c r="AC450" s="507">
        <f t="shared" si="235"/>
        <v>32871903.168185282</v>
      </c>
      <c r="AD450" s="507">
        <f t="shared" si="235"/>
        <v>32871903.168185282</v>
      </c>
      <c r="AE450" s="507">
        <f t="shared" si="235"/>
        <v>32871903.168185282</v>
      </c>
      <c r="AF450" s="507">
        <f t="shared" si="235"/>
        <v>32871903.168185282</v>
      </c>
      <c r="AG450" s="507">
        <f t="shared" si="235"/>
        <v>32871903.168185282</v>
      </c>
      <c r="AH450" s="507">
        <f t="shared" si="235"/>
        <v>32871903.168185282</v>
      </c>
      <c r="AI450" s="558">
        <f t="shared" si="233"/>
        <v>328719031.68185288</v>
      </c>
      <c r="AJ450" s="558">
        <f t="shared" si="233"/>
        <v>657438063.36370564</v>
      </c>
      <c r="AK450" s="542">
        <f t="shared" si="233"/>
        <v>986157095.04555798</v>
      </c>
    </row>
    <row r="451" spans="1:37" x14ac:dyDescent="0.2">
      <c r="A451" s="1270"/>
      <c r="B451" s="452" t="s">
        <v>268</v>
      </c>
      <c r="C451" s="464" t="s">
        <v>37</v>
      </c>
      <c r="D451" s="507">
        <f t="shared" si="234"/>
        <v>0</v>
      </c>
      <c r="E451" s="507">
        <f t="shared" si="234"/>
        <v>22443452.293807615</v>
      </c>
      <c r="F451" s="507">
        <f t="shared" si="234"/>
        <v>22443452.293807615</v>
      </c>
      <c r="G451" s="507">
        <f t="shared" ref="G451:AH451" si="236">G275</f>
        <v>22443452.293807615</v>
      </c>
      <c r="H451" s="507">
        <f t="shared" si="236"/>
        <v>22443452.293807615</v>
      </c>
      <c r="I451" s="507">
        <f t="shared" si="236"/>
        <v>22443452.293807615</v>
      </c>
      <c r="J451" s="507">
        <f t="shared" si="236"/>
        <v>22443452.293807615</v>
      </c>
      <c r="K451" s="507">
        <f t="shared" si="236"/>
        <v>22443452.293807615</v>
      </c>
      <c r="L451" s="507">
        <f t="shared" si="236"/>
        <v>22443452.293807615</v>
      </c>
      <c r="M451" s="507">
        <f t="shared" si="236"/>
        <v>22443452.293807615</v>
      </c>
      <c r="N451" s="507">
        <f t="shared" si="236"/>
        <v>22443452.293807615</v>
      </c>
      <c r="O451" s="507">
        <f t="shared" si="236"/>
        <v>22443452.293807615</v>
      </c>
      <c r="P451" s="507">
        <f t="shared" si="236"/>
        <v>22443452.293807615</v>
      </c>
      <c r="Q451" s="507">
        <f t="shared" si="236"/>
        <v>22443452.293807615</v>
      </c>
      <c r="R451" s="507">
        <f t="shared" si="236"/>
        <v>22443452.293807615</v>
      </c>
      <c r="S451" s="507">
        <f t="shared" si="236"/>
        <v>22443452.293807615</v>
      </c>
      <c r="T451" s="507">
        <f t="shared" si="236"/>
        <v>22443452.293807615</v>
      </c>
      <c r="U451" s="507">
        <f t="shared" si="236"/>
        <v>22443452.293807615</v>
      </c>
      <c r="V451" s="507">
        <f t="shared" si="236"/>
        <v>22443452.293807615</v>
      </c>
      <c r="W451" s="507">
        <f t="shared" si="236"/>
        <v>22443452.293807615</v>
      </c>
      <c r="X451" s="507">
        <f t="shared" si="236"/>
        <v>22443452.293807615</v>
      </c>
      <c r="Y451" s="507">
        <f t="shared" si="236"/>
        <v>22443452.293807615</v>
      </c>
      <c r="Z451" s="507">
        <f t="shared" si="236"/>
        <v>22443452.293807615</v>
      </c>
      <c r="AA451" s="507">
        <f t="shared" si="236"/>
        <v>22443452.293807615</v>
      </c>
      <c r="AB451" s="507">
        <f t="shared" si="236"/>
        <v>22443452.293807615</v>
      </c>
      <c r="AC451" s="507">
        <f t="shared" si="236"/>
        <v>22443452.293807615</v>
      </c>
      <c r="AD451" s="507">
        <f t="shared" si="236"/>
        <v>22443452.293807615</v>
      </c>
      <c r="AE451" s="507">
        <f t="shared" si="236"/>
        <v>22443452.293807615</v>
      </c>
      <c r="AF451" s="507">
        <f t="shared" si="236"/>
        <v>22443452.293807615</v>
      </c>
      <c r="AG451" s="507">
        <f t="shared" si="236"/>
        <v>22443452.293807615</v>
      </c>
      <c r="AH451" s="507">
        <f t="shared" si="236"/>
        <v>22443452.293807615</v>
      </c>
      <c r="AI451" s="558">
        <f t="shared" si="233"/>
        <v>224434522.9380762</v>
      </c>
      <c r="AJ451" s="558">
        <f t="shared" si="233"/>
        <v>448869045.87615246</v>
      </c>
      <c r="AK451" s="542">
        <f t="shared" si="233"/>
        <v>673303568.81422865</v>
      </c>
    </row>
    <row r="452" spans="1:37" x14ac:dyDescent="0.2">
      <c r="A452" s="1274"/>
      <c r="B452" s="452" t="s">
        <v>1056</v>
      </c>
      <c r="C452" s="465" t="s">
        <v>37</v>
      </c>
      <c r="D452" s="507">
        <f t="shared" si="234"/>
        <v>0</v>
      </c>
      <c r="E452" s="507">
        <f t="shared" si="234"/>
        <v>6574380.6336370567</v>
      </c>
      <c r="F452" s="507">
        <f t="shared" si="234"/>
        <v>6574380.6336370567</v>
      </c>
      <c r="G452" s="507">
        <f t="shared" ref="G452:AH452" si="237">G276</f>
        <v>6574380.6336370567</v>
      </c>
      <c r="H452" s="507">
        <f t="shared" si="237"/>
        <v>6574380.6336370567</v>
      </c>
      <c r="I452" s="507">
        <f t="shared" si="237"/>
        <v>6574380.6336370567</v>
      </c>
      <c r="J452" s="507">
        <f t="shared" si="237"/>
        <v>6574380.6336370567</v>
      </c>
      <c r="K452" s="507">
        <f t="shared" si="237"/>
        <v>6574380.6336370567</v>
      </c>
      <c r="L452" s="507">
        <f t="shared" si="237"/>
        <v>6574380.6336370567</v>
      </c>
      <c r="M452" s="507">
        <f t="shared" si="237"/>
        <v>6574380.6336370567</v>
      </c>
      <c r="N452" s="507">
        <f t="shared" si="237"/>
        <v>6574380.6336370567</v>
      </c>
      <c r="O452" s="507">
        <f t="shared" si="237"/>
        <v>6574380.6336370567</v>
      </c>
      <c r="P452" s="507">
        <f t="shared" si="237"/>
        <v>6574380.6336370567</v>
      </c>
      <c r="Q452" s="507">
        <f t="shared" si="237"/>
        <v>6574380.6336370567</v>
      </c>
      <c r="R452" s="507">
        <f t="shared" si="237"/>
        <v>6574380.6336370567</v>
      </c>
      <c r="S452" s="507">
        <f t="shared" si="237"/>
        <v>6574380.6336370567</v>
      </c>
      <c r="T452" s="507">
        <f t="shared" si="237"/>
        <v>6574380.6336370567</v>
      </c>
      <c r="U452" s="507">
        <f t="shared" si="237"/>
        <v>6574380.6336370567</v>
      </c>
      <c r="V452" s="507">
        <f t="shared" si="237"/>
        <v>6574380.6336370567</v>
      </c>
      <c r="W452" s="507">
        <f t="shared" si="237"/>
        <v>6574380.6336370567</v>
      </c>
      <c r="X452" s="507">
        <f t="shared" si="237"/>
        <v>6574380.6336370567</v>
      </c>
      <c r="Y452" s="507">
        <f t="shared" si="237"/>
        <v>6574380.6336370567</v>
      </c>
      <c r="Z452" s="507">
        <f t="shared" si="237"/>
        <v>6574380.6336370567</v>
      </c>
      <c r="AA452" s="507">
        <f t="shared" si="237"/>
        <v>6574380.6336370567</v>
      </c>
      <c r="AB452" s="507">
        <f t="shared" si="237"/>
        <v>6574380.6336370567</v>
      </c>
      <c r="AC452" s="507">
        <f t="shared" si="237"/>
        <v>6574380.6336370567</v>
      </c>
      <c r="AD452" s="507">
        <f t="shared" si="237"/>
        <v>6574380.6336370567</v>
      </c>
      <c r="AE452" s="507">
        <f t="shared" si="237"/>
        <v>6574380.6336370567</v>
      </c>
      <c r="AF452" s="507">
        <f t="shared" si="237"/>
        <v>6574380.6336370567</v>
      </c>
      <c r="AG452" s="507">
        <f t="shared" si="237"/>
        <v>6574380.6336370567</v>
      </c>
      <c r="AH452" s="507">
        <f t="shared" si="237"/>
        <v>6574380.6336370567</v>
      </c>
      <c r="AI452" s="558">
        <f t="shared" si="233"/>
        <v>65743806.336370565</v>
      </c>
      <c r="AJ452" s="558">
        <f t="shared" si="233"/>
        <v>131487612.67274113</v>
      </c>
      <c r="AK452" s="542">
        <f t="shared" si="233"/>
        <v>197231419.00911182</v>
      </c>
    </row>
    <row r="453" spans="1:37" x14ac:dyDescent="0.2">
      <c r="A453" s="1270"/>
      <c r="B453" s="452" t="s">
        <v>262</v>
      </c>
      <c r="C453" s="464" t="s">
        <v>37</v>
      </c>
      <c r="D453" s="507">
        <f t="shared" si="234"/>
        <v>0</v>
      </c>
      <c r="E453" s="507">
        <f t="shared" si="234"/>
        <v>1627169.8056538783</v>
      </c>
      <c r="F453" s="507">
        <f t="shared" si="234"/>
        <v>1627169.8056538783</v>
      </c>
      <c r="G453" s="507">
        <f t="shared" ref="G453:AH453" si="238">G277</f>
        <v>1627169.8056538783</v>
      </c>
      <c r="H453" s="507">
        <f t="shared" si="238"/>
        <v>1627169.8056538783</v>
      </c>
      <c r="I453" s="507">
        <f t="shared" si="238"/>
        <v>1627169.8056538783</v>
      </c>
      <c r="J453" s="507">
        <f t="shared" si="238"/>
        <v>1627169.8056538783</v>
      </c>
      <c r="K453" s="507">
        <f t="shared" si="238"/>
        <v>1627169.8056538783</v>
      </c>
      <c r="L453" s="507">
        <f t="shared" si="238"/>
        <v>1627169.8056538783</v>
      </c>
      <c r="M453" s="507">
        <f t="shared" si="238"/>
        <v>1627169.8056538783</v>
      </c>
      <c r="N453" s="507">
        <f t="shared" si="238"/>
        <v>1627169.8056538783</v>
      </c>
      <c r="O453" s="507">
        <f t="shared" si="238"/>
        <v>1627169.8056538783</v>
      </c>
      <c r="P453" s="507">
        <f t="shared" si="238"/>
        <v>1627169.8056538783</v>
      </c>
      <c r="Q453" s="507">
        <f t="shared" si="238"/>
        <v>1627169.8056538783</v>
      </c>
      <c r="R453" s="507">
        <f t="shared" si="238"/>
        <v>1627169.8056538783</v>
      </c>
      <c r="S453" s="507">
        <f t="shared" si="238"/>
        <v>1627169.8056538783</v>
      </c>
      <c r="T453" s="507">
        <f t="shared" si="238"/>
        <v>1627169.8056538783</v>
      </c>
      <c r="U453" s="507">
        <f t="shared" si="238"/>
        <v>1627169.8056538783</v>
      </c>
      <c r="V453" s="507">
        <f t="shared" si="238"/>
        <v>1627169.8056538783</v>
      </c>
      <c r="W453" s="507">
        <f t="shared" si="238"/>
        <v>1627169.8056538783</v>
      </c>
      <c r="X453" s="507">
        <f t="shared" si="238"/>
        <v>1627169.8056538783</v>
      </c>
      <c r="Y453" s="507">
        <f t="shared" si="238"/>
        <v>1627169.8056538783</v>
      </c>
      <c r="Z453" s="507">
        <f t="shared" si="238"/>
        <v>1627169.8056538783</v>
      </c>
      <c r="AA453" s="507">
        <f t="shared" si="238"/>
        <v>1627169.8056538783</v>
      </c>
      <c r="AB453" s="507">
        <f t="shared" si="238"/>
        <v>1627169.8056538783</v>
      </c>
      <c r="AC453" s="507">
        <f t="shared" si="238"/>
        <v>1627169.8056538783</v>
      </c>
      <c r="AD453" s="507">
        <f t="shared" si="238"/>
        <v>1627169.8056538783</v>
      </c>
      <c r="AE453" s="507">
        <f t="shared" si="238"/>
        <v>1627169.8056538783</v>
      </c>
      <c r="AF453" s="507">
        <f t="shared" si="238"/>
        <v>1627169.8056538783</v>
      </c>
      <c r="AG453" s="507">
        <f t="shared" si="238"/>
        <v>1627169.8056538783</v>
      </c>
      <c r="AH453" s="507">
        <f t="shared" si="238"/>
        <v>1627169.8056538783</v>
      </c>
      <c r="AI453" s="558">
        <f t="shared" si="233"/>
        <v>16271698.056538779</v>
      </c>
      <c r="AJ453" s="558">
        <f t="shared" si="233"/>
        <v>32543396.113077555</v>
      </c>
      <c r="AK453" s="542">
        <f t="shared" si="233"/>
        <v>48815094.169616334</v>
      </c>
    </row>
    <row r="454" spans="1:37" x14ac:dyDescent="0.2">
      <c r="A454" s="1270"/>
      <c r="B454" s="452" t="s">
        <v>264</v>
      </c>
      <c r="C454" s="465" t="s">
        <v>37</v>
      </c>
      <c r="D454" s="507">
        <f t="shared" si="234"/>
        <v>0</v>
      </c>
      <c r="E454" s="507">
        <f t="shared" si="234"/>
        <v>2226900.4350867355</v>
      </c>
      <c r="F454" s="507">
        <f t="shared" si="234"/>
        <v>2226900.4350867355</v>
      </c>
      <c r="G454" s="507">
        <f t="shared" ref="G454:AH454" si="239">G278</f>
        <v>2226900.4350867355</v>
      </c>
      <c r="H454" s="507">
        <f t="shared" si="239"/>
        <v>2226900.4350867355</v>
      </c>
      <c r="I454" s="507">
        <f t="shared" si="239"/>
        <v>2226900.4350867355</v>
      </c>
      <c r="J454" s="507">
        <f t="shared" si="239"/>
        <v>2226900.4350867355</v>
      </c>
      <c r="K454" s="507">
        <f t="shared" si="239"/>
        <v>2226900.4350867355</v>
      </c>
      <c r="L454" s="507">
        <f t="shared" si="239"/>
        <v>2226900.4350867355</v>
      </c>
      <c r="M454" s="507">
        <f t="shared" si="239"/>
        <v>2226900.4350867355</v>
      </c>
      <c r="N454" s="507">
        <f t="shared" si="239"/>
        <v>2226900.4350867355</v>
      </c>
      <c r="O454" s="507">
        <f t="shared" si="239"/>
        <v>2226900.4350867355</v>
      </c>
      <c r="P454" s="507">
        <f t="shared" si="239"/>
        <v>2226900.4350867355</v>
      </c>
      <c r="Q454" s="507">
        <f t="shared" si="239"/>
        <v>2226900.4350867355</v>
      </c>
      <c r="R454" s="507">
        <f t="shared" si="239"/>
        <v>2226900.4350867355</v>
      </c>
      <c r="S454" s="507">
        <f t="shared" si="239"/>
        <v>2226900.4350867355</v>
      </c>
      <c r="T454" s="507">
        <f t="shared" si="239"/>
        <v>2226900.4350867355</v>
      </c>
      <c r="U454" s="507">
        <f t="shared" si="239"/>
        <v>2226900.4350867355</v>
      </c>
      <c r="V454" s="507">
        <f t="shared" si="239"/>
        <v>2226900.4350867355</v>
      </c>
      <c r="W454" s="507">
        <f t="shared" si="239"/>
        <v>2226900.4350867355</v>
      </c>
      <c r="X454" s="507">
        <f t="shared" si="239"/>
        <v>2226900.4350867355</v>
      </c>
      <c r="Y454" s="507">
        <f t="shared" si="239"/>
        <v>2226900.4350867355</v>
      </c>
      <c r="Z454" s="507">
        <f t="shared" si="239"/>
        <v>2226900.4350867355</v>
      </c>
      <c r="AA454" s="507">
        <f t="shared" si="239"/>
        <v>2226900.4350867355</v>
      </c>
      <c r="AB454" s="507">
        <f t="shared" si="239"/>
        <v>2226900.4350867355</v>
      </c>
      <c r="AC454" s="507">
        <f t="shared" si="239"/>
        <v>2226900.4350867355</v>
      </c>
      <c r="AD454" s="507">
        <f t="shared" si="239"/>
        <v>2226900.4350867355</v>
      </c>
      <c r="AE454" s="507">
        <f t="shared" si="239"/>
        <v>2226900.4350867355</v>
      </c>
      <c r="AF454" s="507">
        <f t="shared" si="239"/>
        <v>2226900.4350867355</v>
      </c>
      <c r="AG454" s="507">
        <f t="shared" si="239"/>
        <v>2226900.4350867355</v>
      </c>
      <c r="AH454" s="507">
        <f t="shared" si="239"/>
        <v>2226900.4350867355</v>
      </c>
      <c r="AI454" s="558">
        <f t="shared" si="233"/>
        <v>22269004.35086735</v>
      </c>
      <c r="AJ454" s="558">
        <f t="shared" si="233"/>
        <v>44538008.701734699</v>
      </c>
      <c r="AK454" s="542">
        <f t="shared" si="233"/>
        <v>66807013.052602045</v>
      </c>
    </row>
    <row r="455" spans="1:37" s="478" customFormat="1" x14ac:dyDescent="0.2">
      <c r="A455" s="1266" t="s">
        <v>266</v>
      </c>
      <c r="B455" s="426"/>
      <c r="C455" s="464" t="s">
        <v>37</v>
      </c>
      <c r="D455" s="507">
        <f t="shared" si="234"/>
        <v>0</v>
      </c>
      <c r="E455" s="507">
        <f t="shared" si="234"/>
        <v>4108987.8960231603</v>
      </c>
      <c r="F455" s="507">
        <f t="shared" si="234"/>
        <v>4108987.8960231603</v>
      </c>
      <c r="G455" s="507">
        <f t="shared" ref="G455:AH455" si="240">G279</f>
        <v>4108987.8960231603</v>
      </c>
      <c r="H455" s="507">
        <f t="shared" si="240"/>
        <v>4108987.8960231603</v>
      </c>
      <c r="I455" s="507">
        <f t="shared" si="240"/>
        <v>4108987.8960231603</v>
      </c>
      <c r="J455" s="507">
        <f t="shared" si="240"/>
        <v>4108987.8960231603</v>
      </c>
      <c r="K455" s="507">
        <f t="shared" si="240"/>
        <v>4108987.8960231603</v>
      </c>
      <c r="L455" s="507">
        <f t="shared" si="240"/>
        <v>4108987.8960231603</v>
      </c>
      <c r="M455" s="507">
        <f t="shared" si="240"/>
        <v>4108987.8960231603</v>
      </c>
      <c r="N455" s="507">
        <f t="shared" si="240"/>
        <v>4108987.8960231603</v>
      </c>
      <c r="O455" s="507">
        <f t="shared" si="240"/>
        <v>4108987.8960231603</v>
      </c>
      <c r="P455" s="507">
        <f t="shared" si="240"/>
        <v>4108987.8960231603</v>
      </c>
      <c r="Q455" s="507">
        <f t="shared" si="240"/>
        <v>4108987.8960231603</v>
      </c>
      <c r="R455" s="507">
        <f t="shared" si="240"/>
        <v>4108987.8960231603</v>
      </c>
      <c r="S455" s="507">
        <f t="shared" si="240"/>
        <v>4108987.8960231603</v>
      </c>
      <c r="T455" s="507">
        <f t="shared" si="240"/>
        <v>4108987.8960231603</v>
      </c>
      <c r="U455" s="507">
        <f t="shared" si="240"/>
        <v>4108987.8960231603</v>
      </c>
      <c r="V455" s="507">
        <f t="shared" si="240"/>
        <v>4108987.8960231603</v>
      </c>
      <c r="W455" s="507">
        <f t="shared" si="240"/>
        <v>4108987.8960231603</v>
      </c>
      <c r="X455" s="507">
        <f t="shared" si="240"/>
        <v>4108987.8960231603</v>
      </c>
      <c r="Y455" s="507">
        <f t="shared" si="240"/>
        <v>4108987.8960231603</v>
      </c>
      <c r="Z455" s="507">
        <f t="shared" si="240"/>
        <v>4108987.8960231603</v>
      </c>
      <c r="AA455" s="507">
        <f t="shared" si="240"/>
        <v>4108987.8960231603</v>
      </c>
      <c r="AB455" s="507">
        <f t="shared" si="240"/>
        <v>4108987.8960231603</v>
      </c>
      <c r="AC455" s="507">
        <f t="shared" si="240"/>
        <v>4108987.8960231603</v>
      </c>
      <c r="AD455" s="507">
        <f t="shared" si="240"/>
        <v>4108987.8960231603</v>
      </c>
      <c r="AE455" s="507">
        <f t="shared" si="240"/>
        <v>4108987.8960231603</v>
      </c>
      <c r="AF455" s="507">
        <f t="shared" si="240"/>
        <v>4108987.8960231603</v>
      </c>
      <c r="AG455" s="507">
        <f t="shared" si="240"/>
        <v>4108987.8960231603</v>
      </c>
      <c r="AH455" s="507">
        <f t="shared" si="240"/>
        <v>4108987.8960231603</v>
      </c>
      <c r="AI455" s="558">
        <f t="shared" si="233"/>
        <v>41089878.96023161</v>
      </c>
      <c r="AJ455" s="558">
        <f t="shared" si="233"/>
        <v>82179757.920463204</v>
      </c>
      <c r="AK455" s="542">
        <f t="shared" si="233"/>
        <v>123269636.88069475</v>
      </c>
    </row>
    <row r="456" spans="1:37" s="478" customFormat="1" x14ac:dyDescent="0.2">
      <c r="A456" s="1270"/>
      <c r="B456" s="452" t="s">
        <v>268</v>
      </c>
      <c r="C456" s="464" t="s">
        <v>37</v>
      </c>
      <c r="D456" s="507">
        <f t="shared" si="234"/>
        <v>0</v>
      </c>
      <c r="E456" s="507">
        <f t="shared" si="234"/>
        <v>2805431.5367259518</v>
      </c>
      <c r="F456" s="507">
        <f t="shared" si="234"/>
        <v>2805431.5367259518</v>
      </c>
      <c r="G456" s="507">
        <f t="shared" ref="G456:AH456" si="241">G280</f>
        <v>2805431.5367259518</v>
      </c>
      <c r="H456" s="507">
        <f t="shared" si="241"/>
        <v>2805431.5367259518</v>
      </c>
      <c r="I456" s="507">
        <f t="shared" si="241"/>
        <v>2805431.5367259518</v>
      </c>
      <c r="J456" s="507">
        <f t="shared" si="241"/>
        <v>2805431.5367259518</v>
      </c>
      <c r="K456" s="507">
        <f t="shared" si="241"/>
        <v>2805431.5367259518</v>
      </c>
      <c r="L456" s="507">
        <f t="shared" si="241"/>
        <v>2805431.5367259518</v>
      </c>
      <c r="M456" s="507">
        <f t="shared" si="241"/>
        <v>2805431.5367259518</v>
      </c>
      <c r="N456" s="507">
        <f t="shared" si="241"/>
        <v>2805431.5367259518</v>
      </c>
      <c r="O456" s="507">
        <f t="shared" si="241"/>
        <v>2805431.5367259518</v>
      </c>
      <c r="P456" s="507">
        <f t="shared" si="241"/>
        <v>2805431.5367259518</v>
      </c>
      <c r="Q456" s="507">
        <f t="shared" si="241"/>
        <v>2805431.5367259518</v>
      </c>
      <c r="R456" s="507">
        <f t="shared" si="241"/>
        <v>2805431.5367259518</v>
      </c>
      <c r="S456" s="507">
        <f t="shared" si="241"/>
        <v>2805431.5367259518</v>
      </c>
      <c r="T456" s="507">
        <f t="shared" si="241"/>
        <v>2805431.5367259518</v>
      </c>
      <c r="U456" s="507">
        <f t="shared" si="241"/>
        <v>2805431.5367259518</v>
      </c>
      <c r="V456" s="507">
        <f t="shared" si="241"/>
        <v>2805431.5367259518</v>
      </c>
      <c r="W456" s="507">
        <f t="shared" si="241"/>
        <v>2805431.5367259518</v>
      </c>
      <c r="X456" s="507">
        <f t="shared" si="241"/>
        <v>2805431.5367259518</v>
      </c>
      <c r="Y456" s="507">
        <f t="shared" si="241"/>
        <v>2805431.5367259518</v>
      </c>
      <c r="Z456" s="507">
        <f t="shared" si="241"/>
        <v>2805431.5367259518</v>
      </c>
      <c r="AA456" s="507">
        <f t="shared" si="241"/>
        <v>2805431.5367259518</v>
      </c>
      <c r="AB456" s="507">
        <f t="shared" si="241"/>
        <v>2805431.5367259518</v>
      </c>
      <c r="AC456" s="507">
        <f t="shared" si="241"/>
        <v>2805431.5367259518</v>
      </c>
      <c r="AD456" s="507">
        <f t="shared" si="241"/>
        <v>2805431.5367259518</v>
      </c>
      <c r="AE456" s="507">
        <f t="shared" si="241"/>
        <v>2805431.5367259518</v>
      </c>
      <c r="AF456" s="507">
        <f t="shared" si="241"/>
        <v>2805431.5367259518</v>
      </c>
      <c r="AG456" s="507">
        <f t="shared" si="241"/>
        <v>2805431.5367259518</v>
      </c>
      <c r="AH456" s="507">
        <f t="shared" si="241"/>
        <v>2805431.5367259518</v>
      </c>
      <c r="AI456" s="558">
        <f t="shared" si="233"/>
        <v>28054315.367259525</v>
      </c>
      <c r="AJ456" s="558">
        <f t="shared" si="233"/>
        <v>56108630.734519057</v>
      </c>
      <c r="AK456" s="542">
        <f t="shared" si="233"/>
        <v>84162946.101778582</v>
      </c>
    </row>
    <row r="457" spans="1:37" s="478" customFormat="1" x14ac:dyDescent="0.2">
      <c r="A457" s="1274"/>
      <c r="B457" s="452" t="s">
        <v>1056</v>
      </c>
      <c r="C457" s="465" t="s">
        <v>37</v>
      </c>
      <c r="D457" s="507">
        <f t="shared" si="234"/>
        <v>0</v>
      </c>
      <c r="E457" s="507">
        <f t="shared" si="234"/>
        <v>821797.57920463209</v>
      </c>
      <c r="F457" s="507">
        <f t="shared" si="234"/>
        <v>821797.57920463209</v>
      </c>
      <c r="G457" s="507">
        <f t="shared" ref="G457:AH457" si="242">G281</f>
        <v>821797.57920463209</v>
      </c>
      <c r="H457" s="507">
        <f t="shared" si="242"/>
        <v>821797.57920463209</v>
      </c>
      <c r="I457" s="507">
        <f t="shared" si="242"/>
        <v>821797.57920463209</v>
      </c>
      <c r="J457" s="507">
        <f t="shared" si="242"/>
        <v>821797.57920463209</v>
      </c>
      <c r="K457" s="507">
        <f t="shared" si="242"/>
        <v>821797.57920463209</v>
      </c>
      <c r="L457" s="507">
        <f t="shared" si="242"/>
        <v>821797.57920463209</v>
      </c>
      <c r="M457" s="507">
        <f t="shared" si="242"/>
        <v>821797.57920463209</v>
      </c>
      <c r="N457" s="507">
        <f t="shared" si="242"/>
        <v>821797.57920463209</v>
      </c>
      <c r="O457" s="507">
        <f t="shared" si="242"/>
        <v>821797.57920463209</v>
      </c>
      <c r="P457" s="507">
        <f t="shared" si="242"/>
        <v>821797.57920463209</v>
      </c>
      <c r="Q457" s="507">
        <f t="shared" si="242"/>
        <v>821797.57920463209</v>
      </c>
      <c r="R457" s="507">
        <f t="shared" si="242"/>
        <v>821797.57920463209</v>
      </c>
      <c r="S457" s="507">
        <f t="shared" si="242"/>
        <v>821797.57920463209</v>
      </c>
      <c r="T457" s="507">
        <f t="shared" si="242"/>
        <v>821797.57920463209</v>
      </c>
      <c r="U457" s="507">
        <f t="shared" si="242"/>
        <v>821797.57920463209</v>
      </c>
      <c r="V457" s="507">
        <f t="shared" si="242"/>
        <v>821797.57920463209</v>
      </c>
      <c r="W457" s="507">
        <f t="shared" si="242"/>
        <v>821797.57920463209</v>
      </c>
      <c r="X457" s="507">
        <f t="shared" si="242"/>
        <v>821797.57920463209</v>
      </c>
      <c r="Y457" s="507">
        <f t="shared" si="242"/>
        <v>821797.57920463209</v>
      </c>
      <c r="Z457" s="507">
        <f t="shared" si="242"/>
        <v>821797.57920463209</v>
      </c>
      <c r="AA457" s="507">
        <f t="shared" si="242"/>
        <v>821797.57920463209</v>
      </c>
      <c r="AB457" s="507">
        <f t="shared" si="242"/>
        <v>821797.57920463209</v>
      </c>
      <c r="AC457" s="507">
        <f t="shared" si="242"/>
        <v>821797.57920463209</v>
      </c>
      <c r="AD457" s="507">
        <f t="shared" si="242"/>
        <v>821797.57920463209</v>
      </c>
      <c r="AE457" s="507">
        <f t="shared" si="242"/>
        <v>821797.57920463209</v>
      </c>
      <c r="AF457" s="507">
        <f t="shared" si="242"/>
        <v>821797.57920463209</v>
      </c>
      <c r="AG457" s="507">
        <f t="shared" si="242"/>
        <v>821797.57920463209</v>
      </c>
      <c r="AH457" s="507">
        <f t="shared" si="242"/>
        <v>821797.57920463209</v>
      </c>
      <c r="AI457" s="558">
        <f t="shared" si="233"/>
        <v>8217975.7920463206</v>
      </c>
      <c r="AJ457" s="558">
        <f t="shared" si="233"/>
        <v>16435951.584092641</v>
      </c>
      <c r="AK457" s="542">
        <f t="shared" si="233"/>
        <v>24653927.376138978</v>
      </c>
    </row>
    <row r="458" spans="1:37" s="478" customFormat="1" x14ac:dyDescent="0.2">
      <c r="A458" s="1270"/>
      <c r="B458" s="452" t="s">
        <v>262</v>
      </c>
      <c r="C458" s="464" t="s">
        <v>37</v>
      </c>
      <c r="D458" s="507">
        <f t="shared" si="234"/>
        <v>0</v>
      </c>
      <c r="E458" s="507">
        <f t="shared" si="234"/>
        <v>203396.22570673478</v>
      </c>
      <c r="F458" s="507">
        <f t="shared" si="234"/>
        <v>203396.22570673478</v>
      </c>
      <c r="G458" s="507">
        <f t="shared" ref="G458:AH458" si="243">G282</f>
        <v>203396.22570673478</v>
      </c>
      <c r="H458" s="507">
        <f t="shared" si="243"/>
        <v>203396.22570673478</v>
      </c>
      <c r="I458" s="507">
        <f t="shared" si="243"/>
        <v>203396.22570673478</v>
      </c>
      <c r="J458" s="507">
        <f t="shared" si="243"/>
        <v>203396.22570673478</v>
      </c>
      <c r="K458" s="507">
        <f t="shared" si="243"/>
        <v>203396.22570673478</v>
      </c>
      <c r="L458" s="507">
        <f t="shared" si="243"/>
        <v>203396.22570673478</v>
      </c>
      <c r="M458" s="507">
        <f t="shared" si="243"/>
        <v>203396.22570673478</v>
      </c>
      <c r="N458" s="507">
        <f t="shared" si="243"/>
        <v>203396.22570673478</v>
      </c>
      <c r="O458" s="507">
        <f t="shared" si="243"/>
        <v>203396.22570673478</v>
      </c>
      <c r="P458" s="507">
        <f t="shared" si="243"/>
        <v>203396.22570673478</v>
      </c>
      <c r="Q458" s="507">
        <f t="shared" si="243"/>
        <v>203396.22570673478</v>
      </c>
      <c r="R458" s="507">
        <f t="shared" si="243"/>
        <v>203396.22570673478</v>
      </c>
      <c r="S458" s="507">
        <f t="shared" si="243"/>
        <v>203396.22570673478</v>
      </c>
      <c r="T458" s="507">
        <f t="shared" si="243"/>
        <v>203396.22570673478</v>
      </c>
      <c r="U458" s="507">
        <f t="shared" si="243"/>
        <v>203396.22570673478</v>
      </c>
      <c r="V458" s="507">
        <f t="shared" si="243"/>
        <v>203396.22570673478</v>
      </c>
      <c r="W458" s="507">
        <f t="shared" si="243"/>
        <v>203396.22570673478</v>
      </c>
      <c r="X458" s="507">
        <f t="shared" si="243"/>
        <v>203396.22570673478</v>
      </c>
      <c r="Y458" s="507">
        <f t="shared" si="243"/>
        <v>203396.22570673478</v>
      </c>
      <c r="Z458" s="507">
        <f t="shared" si="243"/>
        <v>203396.22570673478</v>
      </c>
      <c r="AA458" s="507">
        <f t="shared" si="243"/>
        <v>203396.22570673478</v>
      </c>
      <c r="AB458" s="507">
        <f t="shared" si="243"/>
        <v>203396.22570673478</v>
      </c>
      <c r="AC458" s="507">
        <f t="shared" si="243"/>
        <v>203396.22570673478</v>
      </c>
      <c r="AD458" s="507">
        <f t="shared" si="243"/>
        <v>203396.22570673478</v>
      </c>
      <c r="AE458" s="507">
        <f t="shared" si="243"/>
        <v>203396.22570673478</v>
      </c>
      <c r="AF458" s="507">
        <f t="shared" si="243"/>
        <v>203396.22570673478</v>
      </c>
      <c r="AG458" s="507">
        <f t="shared" si="243"/>
        <v>203396.22570673478</v>
      </c>
      <c r="AH458" s="507">
        <f t="shared" si="243"/>
        <v>203396.22570673478</v>
      </c>
      <c r="AI458" s="558">
        <f t="shared" si="233"/>
        <v>2033962.2570673474</v>
      </c>
      <c r="AJ458" s="558">
        <f t="shared" si="233"/>
        <v>4067924.5141346944</v>
      </c>
      <c r="AK458" s="542">
        <f t="shared" si="233"/>
        <v>6101886.7712020418</v>
      </c>
    </row>
    <row r="459" spans="1:37" s="478" customFormat="1" x14ac:dyDescent="0.2">
      <c r="A459" s="1270"/>
      <c r="B459" s="452" t="s">
        <v>264</v>
      </c>
      <c r="C459" s="465" t="s">
        <v>37</v>
      </c>
      <c r="D459" s="507">
        <f t="shared" si="234"/>
        <v>0</v>
      </c>
      <c r="E459" s="507">
        <f t="shared" si="234"/>
        <v>278362.55438584194</v>
      </c>
      <c r="F459" s="507">
        <f t="shared" si="234"/>
        <v>278362.55438584194</v>
      </c>
      <c r="G459" s="507">
        <f t="shared" ref="G459:AH459" si="244">G283</f>
        <v>278362.55438584194</v>
      </c>
      <c r="H459" s="507">
        <f t="shared" si="244"/>
        <v>278362.55438584194</v>
      </c>
      <c r="I459" s="507">
        <f t="shared" si="244"/>
        <v>278362.55438584194</v>
      </c>
      <c r="J459" s="507">
        <f t="shared" si="244"/>
        <v>278362.55438584194</v>
      </c>
      <c r="K459" s="507">
        <f t="shared" si="244"/>
        <v>278362.55438584194</v>
      </c>
      <c r="L459" s="507">
        <f t="shared" si="244"/>
        <v>278362.55438584194</v>
      </c>
      <c r="M459" s="507">
        <f t="shared" si="244"/>
        <v>278362.55438584194</v>
      </c>
      <c r="N459" s="507">
        <f t="shared" si="244"/>
        <v>278362.55438584194</v>
      </c>
      <c r="O459" s="507">
        <f t="shared" si="244"/>
        <v>278362.55438584194</v>
      </c>
      <c r="P459" s="507">
        <f t="shared" si="244"/>
        <v>278362.55438584194</v>
      </c>
      <c r="Q459" s="507">
        <f t="shared" si="244"/>
        <v>278362.55438584194</v>
      </c>
      <c r="R459" s="507">
        <f t="shared" si="244"/>
        <v>278362.55438584194</v>
      </c>
      <c r="S459" s="507">
        <f t="shared" si="244"/>
        <v>278362.55438584194</v>
      </c>
      <c r="T459" s="507">
        <f t="shared" si="244"/>
        <v>278362.55438584194</v>
      </c>
      <c r="U459" s="507">
        <f t="shared" si="244"/>
        <v>278362.55438584194</v>
      </c>
      <c r="V459" s="507">
        <f t="shared" si="244"/>
        <v>278362.55438584194</v>
      </c>
      <c r="W459" s="507">
        <f t="shared" si="244"/>
        <v>278362.55438584194</v>
      </c>
      <c r="X459" s="507">
        <f t="shared" si="244"/>
        <v>278362.55438584194</v>
      </c>
      <c r="Y459" s="507">
        <f t="shared" si="244"/>
        <v>278362.55438584194</v>
      </c>
      <c r="Z459" s="507">
        <f t="shared" si="244"/>
        <v>278362.55438584194</v>
      </c>
      <c r="AA459" s="507">
        <f t="shared" si="244"/>
        <v>278362.55438584194</v>
      </c>
      <c r="AB459" s="507">
        <f t="shared" si="244"/>
        <v>278362.55438584194</v>
      </c>
      <c r="AC459" s="507">
        <f t="shared" si="244"/>
        <v>278362.55438584194</v>
      </c>
      <c r="AD459" s="507">
        <f t="shared" si="244"/>
        <v>278362.55438584194</v>
      </c>
      <c r="AE459" s="507">
        <f t="shared" si="244"/>
        <v>278362.55438584194</v>
      </c>
      <c r="AF459" s="507">
        <f t="shared" si="244"/>
        <v>278362.55438584194</v>
      </c>
      <c r="AG459" s="507">
        <f t="shared" si="244"/>
        <v>278362.55438584194</v>
      </c>
      <c r="AH459" s="507">
        <f t="shared" si="244"/>
        <v>278362.55438584194</v>
      </c>
      <c r="AI459" s="558">
        <f t="shared" si="233"/>
        <v>2783625.5438584187</v>
      </c>
      <c r="AJ459" s="558">
        <f t="shared" si="233"/>
        <v>5567251.0877168374</v>
      </c>
      <c r="AK459" s="542">
        <f t="shared" si="233"/>
        <v>8350876.6315752557</v>
      </c>
    </row>
    <row r="460" spans="1:37" x14ac:dyDescent="0.2">
      <c r="A460" s="1275" t="s">
        <v>267</v>
      </c>
      <c r="B460" s="1258"/>
      <c r="C460" s="1253" t="s">
        <v>37</v>
      </c>
      <c r="D460" s="1254">
        <f t="shared" si="234"/>
        <v>0</v>
      </c>
      <c r="E460" s="1254">
        <f t="shared" si="234"/>
        <v>4108987.8960231603</v>
      </c>
      <c r="F460" s="1254">
        <f t="shared" si="234"/>
        <v>4108987.8960231603</v>
      </c>
      <c r="G460" s="1254">
        <f t="shared" ref="G460:AH460" si="245">G284</f>
        <v>4108987.8960231603</v>
      </c>
      <c r="H460" s="1254">
        <f t="shared" si="245"/>
        <v>4108987.8960231603</v>
      </c>
      <c r="I460" s="1254">
        <f t="shared" si="245"/>
        <v>4108987.8960231603</v>
      </c>
      <c r="J460" s="1254">
        <f t="shared" si="245"/>
        <v>4108987.8960231603</v>
      </c>
      <c r="K460" s="1254">
        <f t="shared" si="245"/>
        <v>4108987.8960231603</v>
      </c>
      <c r="L460" s="1254">
        <f t="shared" si="245"/>
        <v>4108987.8960231603</v>
      </c>
      <c r="M460" s="1254">
        <f t="shared" si="245"/>
        <v>4108987.8960231603</v>
      </c>
      <c r="N460" s="1254">
        <f t="shared" si="245"/>
        <v>4108987.8960231603</v>
      </c>
      <c r="O460" s="1254">
        <f t="shared" si="245"/>
        <v>4108987.8960231603</v>
      </c>
      <c r="P460" s="1254">
        <f t="shared" si="245"/>
        <v>4108987.8960231603</v>
      </c>
      <c r="Q460" s="1254">
        <f t="shared" si="245"/>
        <v>4108987.8960231603</v>
      </c>
      <c r="R460" s="1254">
        <f t="shared" si="245"/>
        <v>4108987.8960231603</v>
      </c>
      <c r="S460" s="1254">
        <f t="shared" si="245"/>
        <v>4108987.8960231603</v>
      </c>
      <c r="T460" s="1254">
        <f t="shared" si="245"/>
        <v>4108987.8960231603</v>
      </c>
      <c r="U460" s="1254">
        <f t="shared" si="245"/>
        <v>4108987.8960231603</v>
      </c>
      <c r="V460" s="1254">
        <f t="shared" si="245"/>
        <v>4108987.8960231603</v>
      </c>
      <c r="W460" s="1254">
        <f t="shared" si="245"/>
        <v>4108987.8960231603</v>
      </c>
      <c r="X460" s="1254">
        <f t="shared" si="245"/>
        <v>4108987.8960231603</v>
      </c>
      <c r="Y460" s="1254">
        <f t="shared" si="245"/>
        <v>4108987.8960231603</v>
      </c>
      <c r="Z460" s="1254">
        <f t="shared" si="245"/>
        <v>4108987.8960231603</v>
      </c>
      <c r="AA460" s="1254">
        <f t="shared" si="245"/>
        <v>4108987.8960231603</v>
      </c>
      <c r="AB460" s="1254">
        <f t="shared" si="245"/>
        <v>4108987.8960231603</v>
      </c>
      <c r="AC460" s="1254">
        <f t="shared" si="245"/>
        <v>4108987.8960231603</v>
      </c>
      <c r="AD460" s="1254">
        <f t="shared" si="245"/>
        <v>4108987.8960231603</v>
      </c>
      <c r="AE460" s="1254">
        <f t="shared" si="245"/>
        <v>4108987.8960231603</v>
      </c>
      <c r="AF460" s="1254">
        <f t="shared" si="245"/>
        <v>4108987.8960231603</v>
      </c>
      <c r="AG460" s="1254">
        <f t="shared" si="245"/>
        <v>4108987.8960231603</v>
      </c>
      <c r="AH460" s="1254">
        <f t="shared" si="245"/>
        <v>4108987.8960231603</v>
      </c>
      <c r="AI460" s="1280">
        <f t="shared" si="233"/>
        <v>41089878.96023161</v>
      </c>
      <c r="AJ460" s="1280">
        <f t="shared" si="233"/>
        <v>82179757.920463204</v>
      </c>
      <c r="AK460" s="1281">
        <f t="shared" si="233"/>
        <v>123269636.88069475</v>
      </c>
    </row>
    <row r="461" spans="1:37" x14ac:dyDescent="0.2">
      <c r="A461" s="1256" t="s">
        <v>1049</v>
      </c>
      <c r="B461" s="452"/>
      <c r="C461" s="465" t="s">
        <v>1050</v>
      </c>
      <c r="D461" s="507">
        <f t="shared" ref="D461:F461" si="246">SUM(D451,D453:D454,D456,D458:D459)</f>
        <v>0</v>
      </c>
      <c r="E461" s="507">
        <f t="shared" si="246"/>
        <v>29584712.851366755</v>
      </c>
      <c r="F461" s="507">
        <f t="shared" si="246"/>
        <v>29584712.851366755</v>
      </c>
      <c r="G461" s="507">
        <f t="shared" ref="G461:AK461" si="247">SUM(G451,G453:G454,G456,G458:G459)</f>
        <v>29584712.851366755</v>
      </c>
      <c r="H461" s="507">
        <f t="shared" si="247"/>
        <v>29584712.851366755</v>
      </c>
      <c r="I461" s="507">
        <f t="shared" si="247"/>
        <v>29584712.851366755</v>
      </c>
      <c r="J461" s="507">
        <f t="shared" si="247"/>
        <v>29584712.851366755</v>
      </c>
      <c r="K461" s="507">
        <f t="shared" si="247"/>
        <v>29584712.851366755</v>
      </c>
      <c r="L461" s="507">
        <f t="shared" si="247"/>
        <v>29584712.851366755</v>
      </c>
      <c r="M461" s="507">
        <f t="shared" si="247"/>
        <v>29584712.851366755</v>
      </c>
      <c r="N461" s="507">
        <f t="shared" si="247"/>
        <v>29584712.851366755</v>
      </c>
      <c r="O461" s="507">
        <f t="shared" si="247"/>
        <v>29584712.851366755</v>
      </c>
      <c r="P461" s="507">
        <f t="shared" si="247"/>
        <v>29584712.851366755</v>
      </c>
      <c r="Q461" s="507">
        <f t="shared" si="247"/>
        <v>29584712.851366755</v>
      </c>
      <c r="R461" s="507">
        <f t="shared" si="247"/>
        <v>29584712.851366755</v>
      </c>
      <c r="S461" s="507">
        <f t="shared" si="247"/>
        <v>29584712.851366755</v>
      </c>
      <c r="T461" s="507">
        <f t="shared" si="247"/>
        <v>29584712.851366755</v>
      </c>
      <c r="U461" s="507">
        <f t="shared" si="247"/>
        <v>29584712.851366755</v>
      </c>
      <c r="V461" s="507">
        <f t="shared" si="247"/>
        <v>29584712.851366755</v>
      </c>
      <c r="W461" s="507">
        <f t="shared" si="247"/>
        <v>29584712.851366755</v>
      </c>
      <c r="X461" s="507">
        <f t="shared" si="247"/>
        <v>29584712.851366755</v>
      </c>
      <c r="Y461" s="507">
        <f t="shared" si="247"/>
        <v>29584712.851366755</v>
      </c>
      <c r="Z461" s="507">
        <f t="shared" si="247"/>
        <v>29584712.851366755</v>
      </c>
      <c r="AA461" s="507">
        <f t="shared" si="247"/>
        <v>29584712.851366755</v>
      </c>
      <c r="AB461" s="507">
        <f t="shared" si="247"/>
        <v>29584712.851366755</v>
      </c>
      <c r="AC461" s="507">
        <f t="shared" si="247"/>
        <v>29584712.851366755</v>
      </c>
      <c r="AD461" s="507">
        <f t="shared" si="247"/>
        <v>29584712.851366755</v>
      </c>
      <c r="AE461" s="507">
        <f t="shared" si="247"/>
        <v>29584712.851366755</v>
      </c>
      <c r="AF461" s="507">
        <f t="shared" si="247"/>
        <v>29584712.851366755</v>
      </c>
      <c r="AG461" s="507">
        <f t="shared" si="247"/>
        <v>29584712.851366755</v>
      </c>
      <c r="AH461" s="507">
        <f t="shared" si="247"/>
        <v>29584712.851366755</v>
      </c>
      <c r="AI461" s="558">
        <f t="shared" si="247"/>
        <v>295847128.51366758</v>
      </c>
      <c r="AJ461" s="558">
        <f t="shared" si="247"/>
        <v>591694257.02733529</v>
      </c>
      <c r="AK461" s="542">
        <f t="shared" si="247"/>
        <v>887541385.54100299</v>
      </c>
    </row>
    <row r="462" spans="1:37" x14ac:dyDescent="0.2">
      <c r="A462" s="1257" t="s">
        <v>1051</v>
      </c>
      <c r="B462" s="1258"/>
      <c r="C462" s="1259" t="s">
        <v>37</v>
      </c>
      <c r="D462" s="1254">
        <f t="shared" ref="D462:F462" si="248">SUM(D460,D457,D452)</f>
        <v>0</v>
      </c>
      <c r="E462" s="1254">
        <f>SUM(E460,E457,E452)</f>
        <v>11505166.108864849</v>
      </c>
      <c r="F462" s="1254">
        <f t="shared" si="248"/>
        <v>11505166.108864849</v>
      </c>
      <c r="G462" s="1254">
        <f t="shared" ref="G462:AK462" si="249">SUM(G460,G457,G452)</f>
        <v>11505166.108864849</v>
      </c>
      <c r="H462" s="1254">
        <f t="shared" si="249"/>
        <v>11505166.108864849</v>
      </c>
      <c r="I462" s="1254">
        <f t="shared" si="249"/>
        <v>11505166.108864849</v>
      </c>
      <c r="J462" s="1254">
        <f t="shared" si="249"/>
        <v>11505166.108864849</v>
      </c>
      <c r="K462" s="1254">
        <f t="shared" si="249"/>
        <v>11505166.108864849</v>
      </c>
      <c r="L462" s="1254">
        <f t="shared" si="249"/>
        <v>11505166.108864849</v>
      </c>
      <c r="M462" s="1254">
        <f t="shared" si="249"/>
        <v>11505166.108864849</v>
      </c>
      <c r="N462" s="1254">
        <f t="shared" si="249"/>
        <v>11505166.108864849</v>
      </c>
      <c r="O462" s="1254">
        <f t="shared" si="249"/>
        <v>11505166.108864849</v>
      </c>
      <c r="P462" s="1254">
        <f t="shared" si="249"/>
        <v>11505166.108864849</v>
      </c>
      <c r="Q462" s="1254">
        <f t="shared" si="249"/>
        <v>11505166.108864849</v>
      </c>
      <c r="R462" s="1254">
        <f t="shared" si="249"/>
        <v>11505166.108864849</v>
      </c>
      <c r="S462" s="1254">
        <f t="shared" si="249"/>
        <v>11505166.108864849</v>
      </c>
      <c r="T462" s="1254">
        <f t="shared" si="249"/>
        <v>11505166.108864849</v>
      </c>
      <c r="U462" s="1254">
        <f t="shared" si="249"/>
        <v>11505166.108864849</v>
      </c>
      <c r="V462" s="1254">
        <f t="shared" si="249"/>
        <v>11505166.108864849</v>
      </c>
      <c r="W462" s="1254">
        <f t="shared" si="249"/>
        <v>11505166.108864849</v>
      </c>
      <c r="X462" s="1254">
        <f t="shared" si="249"/>
        <v>11505166.108864849</v>
      </c>
      <c r="Y462" s="1254">
        <f t="shared" si="249"/>
        <v>11505166.108864849</v>
      </c>
      <c r="Z462" s="1254">
        <f t="shared" si="249"/>
        <v>11505166.108864849</v>
      </c>
      <c r="AA462" s="1254">
        <f t="shared" si="249"/>
        <v>11505166.108864849</v>
      </c>
      <c r="AB462" s="1254">
        <f t="shared" si="249"/>
        <v>11505166.108864849</v>
      </c>
      <c r="AC462" s="1254">
        <f t="shared" si="249"/>
        <v>11505166.108864849</v>
      </c>
      <c r="AD462" s="1254">
        <f t="shared" si="249"/>
        <v>11505166.108864849</v>
      </c>
      <c r="AE462" s="1254">
        <f t="shared" si="249"/>
        <v>11505166.108864849</v>
      </c>
      <c r="AF462" s="1254">
        <f t="shared" si="249"/>
        <v>11505166.108864849</v>
      </c>
      <c r="AG462" s="1254">
        <f t="shared" si="249"/>
        <v>11505166.108864849</v>
      </c>
      <c r="AH462" s="1254">
        <f t="shared" si="249"/>
        <v>11505166.108864849</v>
      </c>
      <c r="AI462" s="1280">
        <f t="shared" si="249"/>
        <v>115051661.0886485</v>
      </c>
      <c r="AJ462" s="1280">
        <f t="shared" si="249"/>
        <v>230103322.177297</v>
      </c>
      <c r="AK462" s="1281">
        <f t="shared" si="249"/>
        <v>345154983.26594555</v>
      </c>
    </row>
    <row r="463" spans="1:37" x14ac:dyDescent="0.2">
      <c r="A463" s="1251" t="s">
        <v>284</v>
      </c>
      <c r="B463" s="1258"/>
      <c r="C463" s="1259" t="s">
        <v>37</v>
      </c>
      <c r="D463" s="1254">
        <f t="shared" ref="D463" si="250">SUM(D462,D461)</f>
        <v>0</v>
      </c>
      <c r="E463" s="1254">
        <f>SUM(E462,E461)</f>
        <v>41089878.960231602</v>
      </c>
      <c r="F463" s="1254">
        <f t="shared" ref="F463:AK463" si="251">SUM(F462,F461)</f>
        <v>41089878.960231602</v>
      </c>
      <c r="G463" s="1254">
        <f t="shared" si="251"/>
        <v>41089878.960231602</v>
      </c>
      <c r="H463" s="1254">
        <f t="shared" si="251"/>
        <v>41089878.960231602</v>
      </c>
      <c r="I463" s="1254">
        <f t="shared" si="251"/>
        <v>41089878.960231602</v>
      </c>
      <c r="J463" s="1254">
        <f t="shared" si="251"/>
        <v>41089878.960231602</v>
      </c>
      <c r="K463" s="1254">
        <f t="shared" si="251"/>
        <v>41089878.960231602</v>
      </c>
      <c r="L463" s="1254">
        <f t="shared" si="251"/>
        <v>41089878.960231602</v>
      </c>
      <c r="M463" s="1254">
        <f t="shared" si="251"/>
        <v>41089878.960231602</v>
      </c>
      <c r="N463" s="1254">
        <f t="shared" si="251"/>
        <v>41089878.960231602</v>
      </c>
      <c r="O463" s="1254">
        <f t="shared" si="251"/>
        <v>41089878.960231602</v>
      </c>
      <c r="P463" s="1254">
        <f t="shared" si="251"/>
        <v>41089878.960231602</v>
      </c>
      <c r="Q463" s="1254">
        <f t="shared" si="251"/>
        <v>41089878.960231602</v>
      </c>
      <c r="R463" s="1254">
        <f t="shared" si="251"/>
        <v>41089878.960231602</v>
      </c>
      <c r="S463" s="1254">
        <f t="shared" si="251"/>
        <v>41089878.960231602</v>
      </c>
      <c r="T463" s="1254">
        <f t="shared" si="251"/>
        <v>41089878.960231602</v>
      </c>
      <c r="U463" s="1254">
        <f t="shared" si="251"/>
        <v>41089878.960231602</v>
      </c>
      <c r="V463" s="1254">
        <f t="shared" si="251"/>
        <v>41089878.960231602</v>
      </c>
      <c r="W463" s="1254">
        <f t="shared" si="251"/>
        <v>41089878.960231602</v>
      </c>
      <c r="X463" s="1254">
        <f t="shared" si="251"/>
        <v>41089878.960231602</v>
      </c>
      <c r="Y463" s="1254">
        <f t="shared" si="251"/>
        <v>41089878.960231602</v>
      </c>
      <c r="Z463" s="1254">
        <f t="shared" si="251"/>
        <v>41089878.960231602</v>
      </c>
      <c r="AA463" s="1254">
        <f t="shared" si="251"/>
        <v>41089878.960231602</v>
      </c>
      <c r="AB463" s="1254">
        <f t="shared" si="251"/>
        <v>41089878.960231602</v>
      </c>
      <c r="AC463" s="1254">
        <f t="shared" si="251"/>
        <v>41089878.960231602</v>
      </c>
      <c r="AD463" s="1254">
        <f t="shared" si="251"/>
        <v>41089878.960231602</v>
      </c>
      <c r="AE463" s="1254">
        <f t="shared" si="251"/>
        <v>41089878.960231602</v>
      </c>
      <c r="AF463" s="1254">
        <f t="shared" si="251"/>
        <v>41089878.960231602</v>
      </c>
      <c r="AG463" s="1254">
        <f t="shared" si="251"/>
        <v>41089878.960231602</v>
      </c>
      <c r="AH463" s="1254">
        <f t="shared" si="251"/>
        <v>41089878.960231602</v>
      </c>
      <c r="AI463" s="1282">
        <f t="shared" si="251"/>
        <v>410898789.60231608</v>
      </c>
      <c r="AJ463" s="1282">
        <f t="shared" si="251"/>
        <v>821797579.20463228</v>
      </c>
      <c r="AK463" s="1282">
        <f t="shared" si="251"/>
        <v>1232696368.8069487</v>
      </c>
    </row>
    <row r="464" spans="1:37" x14ac:dyDescent="0.2">
      <c r="A464" s="478" t="s">
        <v>209</v>
      </c>
      <c r="B464" s="452"/>
      <c r="C464" s="465"/>
      <c r="D464" s="507"/>
      <c r="E464" s="1272"/>
      <c r="F464" s="507"/>
      <c r="G464" s="507"/>
      <c r="H464" s="507"/>
      <c r="I464" s="507"/>
      <c r="J464" s="507"/>
      <c r="K464" s="507"/>
      <c r="L464" s="507"/>
      <c r="M464" s="507"/>
      <c r="N464" s="507"/>
      <c r="O464" s="507"/>
      <c r="P464" s="507"/>
      <c r="Q464" s="507"/>
      <c r="R464" s="507"/>
      <c r="S464" s="507"/>
      <c r="T464" s="507"/>
      <c r="U464" s="507"/>
      <c r="V464" s="507"/>
      <c r="W464" s="507"/>
      <c r="X464" s="507"/>
      <c r="Y464" s="507"/>
      <c r="Z464" s="507"/>
      <c r="AA464" s="507"/>
      <c r="AB464" s="507"/>
      <c r="AC464" s="507"/>
      <c r="AD464" s="507"/>
      <c r="AE464" s="507"/>
      <c r="AF464" s="507"/>
      <c r="AG464" s="507"/>
      <c r="AH464" s="507"/>
      <c r="AI464" s="516"/>
      <c r="AJ464" s="516"/>
      <c r="AK464" s="516"/>
    </row>
    <row r="465" spans="1:37" x14ac:dyDescent="0.2">
      <c r="A465" s="452" t="s">
        <v>210</v>
      </c>
      <c r="B465" s="478"/>
      <c r="C465" s="465"/>
      <c r="D465" s="507"/>
      <c r="E465" s="1272"/>
      <c r="F465" s="507"/>
      <c r="G465" s="507"/>
      <c r="H465" s="507"/>
      <c r="I465" s="507"/>
      <c r="J465" s="507"/>
      <c r="K465" s="507"/>
      <c r="L465" s="507"/>
      <c r="M465" s="507"/>
      <c r="N465" s="507"/>
      <c r="O465" s="507"/>
      <c r="P465" s="507"/>
      <c r="Q465" s="507"/>
      <c r="R465" s="507"/>
      <c r="S465" s="507"/>
      <c r="T465" s="507"/>
      <c r="U465" s="507"/>
      <c r="V465" s="507"/>
      <c r="W465" s="507"/>
      <c r="X465" s="507"/>
      <c r="Y465" s="507"/>
      <c r="Z465" s="507"/>
      <c r="AA465" s="507"/>
      <c r="AB465" s="507"/>
      <c r="AC465" s="507"/>
      <c r="AD465" s="507"/>
      <c r="AE465" s="507"/>
      <c r="AF465" s="507"/>
      <c r="AG465" s="507"/>
      <c r="AH465" s="507"/>
      <c r="AI465" s="516"/>
      <c r="AJ465" s="516"/>
      <c r="AK465" s="516"/>
    </row>
    <row r="466" spans="1:37" x14ac:dyDescent="0.2">
      <c r="A466" s="505"/>
      <c r="B466" s="452" t="s">
        <v>210</v>
      </c>
      <c r="C466" s="465" t="s">
        <v>37</v>
      </c>
      <c r="D466" s="507">
        <f t="shared" ref="D466:F476" si="252">D378</f>
        <v>0</v>
      </c>
      <c r="E466" s="1272">
        <f t="shared" si="252"/>
        <v>10000000</v>
      </c>
      <c r="F466" s="507">
        <f t="shared" si="252"/>
        <v>9500000</v>
      </c>
      <c r="G466" s="507">
        <f t="shared" ref="G466:AH466" si="253">G378</f>
        <v>9000000</v>
      </c>
      <c r="H466" s="507">
        <f t="shared" si="253"/>
        <v>8500000</v>
      </c>
      <c r="I466" s="507">
        <f t="shared" si="253"/>
        <v>8000000</v>
      </c>
      <c r="J466" s="507">
        <f t="shared" si="253"/>
        <v>7500000</v>
      </c>
      <c r="K466" s="507">
        <f t="shared" si="253"/>
        <v>7000000</v>
      </c>
      <c r="L466" s="507">
        <f t="shared" si="253"/>
        <v>6500000</v>
      </c>
      <c r="M466" s="507">
        <f t="shared" si="253"/>
        <v>6000000</v>
      </c>
      <c r="N466" s="507">
        <f t="shared" si="253"/>
        <v>5500000</v>
      </c>
      <c r="O466" s="507">
        <f t="shared" si="253"/>
        <v>5000000</v>
      </c>
      <c r="P466" s="507">
        <f t="shared" si="253"/>
        <v>4500000</v>
      </c>
      <c r="Q466" s="507">
        <f t="shared" si="253"/>
        <v>4000000</v>
      </c>
      <c r="R466" s="507">
        <f t="shared" si="253"/>
        <v>3500000</v>
      </c>
      <c r="S466" s="507">
        <f t="shared" si="253"/>
        <v>3000000</v>
      </c>
      <c r="T466" s="507">
        <f t="shared" si="253"/>
        <v>2500000</v>
      </c>
      <c r="U466" s="507">
        <f t="shared" si="253"/>
        <v>2000000</v>
      </c>
      <c r="V466" s="507">
        <f t="shared" si="253"/>
        <v>1500000</v>
      </c>
      <c r="W466" s="507">
        <f t="shared" si="253"/>
        <v>1000000</v>
      </c>
      <c r="X466" s="507">
        <f t="shared" si="253"/>
        <v>500000</v>
      </c>
      <c r="Y466" s="507">
        <f t="shared" si="253"/>
        <v>0</v>
      </c>
      <c r="Z466" s="507">
        <f t="shared" si="253"/>
        <v>0</v>
      </c>
      <c r="AA466" s="507">
        <f t="shared" si="253"/>
        <v>0</v>
      </c>
      <c r="AB466" s="507">
        <f t="shared" si="253"/>
        <v>0</v>
      </c>
      <c r="AC466" s="507">
        <f t="shared" si="253"/>
        <v>0</v>
      </c>
      <c r="AD466" s="507">
        <f t="shared" si="253"/>
        <v>0</v>
      </c>
      <c r="AE466" s="507">
        <f t="shared" si="253"/>
        <v>0</v>
      </c>
      <c r="AF466" s="507">
        <f t="shared" si="253"/>
        <v>0</v>
      </c>
      <c r="AG466" s="507">
        <f t="shared" si="253"/>
        <v>0</v>
      </c>
      <c r="AH466" s="507">
        <f t="shared" si="253"/>
        <v>0</v>
      </c>
      <c r="AI466" s="516">
        <f t="shared" ref="AI466:AI479" si="254">SUM(D466:N466)</f>
        <v>77500000</v>
      </c>
      <c r="AJ466" s="516">
        <f t="shared" ref="AJ466:AJ479" si="255">SUM(D466:X466)</f>
        <v>105000000</v>
      </c>
      <c r="AK466" s="516">
        <f t="shared" ref="AK466:AK479" si="256">SUM(D466:AH466)</f>
        <v>105000000</v>
      </c>
    </row>
    <row r="467" spans="1:37" x14ac:dyDescent="0.2">
      <c r="A467" s="505"/>
      <c r="B467" s="452" t="s">
        <v>277</v>
      </c>
      <c r="C467" s="465" t="s">
        <v>37</v>
      </c>
      <c r="D467" s="507">
        <f t="shared" si="252"/>
        <v>0</v>
      </c>
      <c r="E467" s="1272">
        <f t="shared" si="252"/>
        <v>1006725.3448714489</v>
      </c>
      <c r="F467" s="507">
        <f t="shared" si="252"/>
        <v>956389.07762787642</v>
      </c>
      <c r="G467" s="507">
        <f t="shared" ref="G467:AH467" si="257">G379</f>
        <v>906052.81038430403</v>
      </c>
      <c r="H467" s="507">
        <f t="shared" si="257"/>
        <v>855716.54314073152</v>
      </c>
      <c r="I467" s="507">
        <f t="shared" si="257"/>
        <v>805380.27589715912</v>
      </c>
      <c r="J467" s="507">
        <f t="shared" si="257"/>
        <v>755044.00865358661</v>
      </c>
      <c r="K467" s="507">
        <f t="shared" si="257"/>
        <v>704707.74141001422</v>
      </c>
      <c r="L467" s="507">
        <f t="shared" si="257"/>
        <v>654371.47416644183</v>
      </c>
      <c r="M467" s="507">
        <f t="shared" si="257"/>
        <v>604035.20692286931</v>
      </c>
      <c r="N467" s="507">
        <f t="shared" si="257"/>
        <v>553698.93967929692</v>
      </c>
      <c r="O467" s="507">
        <f t="shared" si="257"/>
        <v>503362.67243572447</v>
      </c>
      <c r="P467" s="507">
        <f t="shared" si="257"/>
        <v>453026.40519215201</v>
      </c>
      <c r="Q467" s="507">
        <f t="shared" si="257"/>
        <v>402690.13794857956</v>
      </c>
      <c r="R467" s="507">
        <f t="shared" si="257"/>
        <v>352353.87070500711</v>
      </c>
      <c r="S467" s="507">
        <f t="shared" si="257"/>
        <v>302017.60346143466</v>
      </c>
      <c r="T467" s="507">
        <f t="shared" si="257"/>
        <v>251681.33621786223</v>
      </c>
      <c r="U467" s="507">
        <f t="shared" si="257"/>
        <v>201345.06897428978</v>
      </c>
      <c r="V467" s="507">
        <f t="shared" si="257"/>
        <v>151008.80173071733</v>
      </c>
      <c r="W467" s="507">
        <f t="shared" si="257"/>
        <v>100672.53448714489</v>
      </c>
      <c r="X467" s="507">
        <f t="shared" si="257"/>
        <v>50336.267243572445</v>
      </c>
      <c r="Y467" s="507">
        <f t="shared" si="257"/>
        <v>0</v>
      </c>
      <c r="Z467" s="507">
        <f t="shared" si="257"/>
        <v>0</v>
      </c>
      <c r="AA467" s="507">
        <f t="shared" si="257"/>
        <v>0</v>
      </c>
      <c r="AB467" s="507">
        <f t="shared" si="257"/>
        <v>0</v>
      </c>
      <c r="AC467" s="507">
        <f t="shared" si="257"/>
        <v>0</v>
      </c>
      <c r="AD467" s="507">
        <f t="shared" si="257"/>
        <v>0</v>
      </c>
      <c r="AE467" s="507">
        <f t="shared" si="257"/>
        <v>0</v>
      </c>
      <c r="AF467" s="507">
        <f t="shared" si="257"/>
        <v>0</v>
      </c>
      <c r="AG467" s="507">
        <f t="shared" si="257"/>
        <v>0</v>
      </c>
      <c r="AH467" s="507">
        <f t="shared" si="257"/>
        <v>0</v>
      </c>
      <c r="AI467" s="516">
        <f t="shared" si="254"/>
        <v>7802121.4227537289</v>
      </c>
      <c r="AJ467" s="516">
        <f t="shared" si="255"/>
        <v>10570616.121150212</v>
      </c>
      <c r="AK467" s="516">
        <f t="shared" si="256"/>
        <v>10570616.121150212</v>
      </c>
    </row>
    <row r="468" spans="1:37" x14ac:dyDescent="0.2">
      <c r="A468" s="505"/>
      <c r="B468" s="452" t="s">
        <v>278</v>
      </c>
      <c r="C468" s="465" t="s">
        <v>37</v>
      </c>
      <c r="D468" s="507">
        <f t="shared" si="252"/>
        <v>0</v>
      </c>
      <c r="E468" s="1272">
        <f t="shared" si="252"/>
        <v>1492829.4292181132</v>
      </c>
      <c r="F468" s="507">
        <f t="shared" si="252"/>
        <v>1418187.9577572076</v>
      </c>
      <c r="G468" s="507">
        <f t="shared" ref="G468:AH468" si="258">G380</f>
        <v>1343546.4862963019</v>
      </c>
      <c r="H468" s="507">
        <f t="shared" si="258"/>
        <v>1268905.0148353963</v>
      </c>
      <c r="I468" s="507">
        <f t="shared" si="258"/>
        <v>1194263.5433744907</v>
      </c>
      <c r="J468" s="507">
        <f t="shared" si="258"/>
        <v>1119622.0719135848</v>
      </c>
      <c r="K468" s="507">
        <f t="shared" si="258"/>
        <v>1044980.6004526792</v>
      </c>
      <c r="L468" s="507">
        <f t="shared" si="258"/>
        <v>970339.12899177358</v>
      </c>
      <c r="M468" s="507">
        <f t="shared" si="258"/>
        <v>895697.65753086796</v>
      </c>
      <c r="N468" s="507">
        <f t="shared" si="258"/>
        <v>821056.18606996234</v>
      </c>
      <c r="O468" s="507">
        <f t="shared" si="258"/>
        <v>746414.71460905659</v>
      </c>
      <c r="P468" s="507">
        <f t="shared" si="258"/>
        <v>671773.24314815097</v>
      </c>
      <c r="Q468" s="507">
        <f t="shared" si="258"/>
        <v>597131.77168724535</v>
      </c>
      <c r="R468" s="507">
        <f t="shared" si="258"/>
        <v>522490.3002263396</v>
      </c>
      <c r="S468" s="507">
        <f t="shared" si="258"/>
        <v>447848.82876543398</v>
      </c>
      <c r="T468" s="507">
        <f t="shared" si="258"/>
        <v>373207.3573045283</v>
      </c>
      <c r="U468" s="507">
        <f t="shared" si="258"/>
        <v>298565.88584362267</v>
      </c>
      <c r="V468" s="507">
        <f t="shared" si="258"/>
        <v>223924.41438271699</v>
      </c>
      <c r="W468" s="507">
        <f t="shared" si="258"/>
        <v>149282.94292181134</v>
      </c>
      <c r="X468" s="507">
        <f t="shared" si="258"/>
        <v>74641.471460905668</v>
      </c>
      <c r="Y468" s="507">
        <f t="shared" si="258"/>
        <v>0</v>
      </c>
      <c r="Z468" s="507">
        <f t="shared" si="258"/>
        <v>0</v>
      </c>
      <c r="AA468" s="507">
        <f t="shared" si="258"/>
        <v>0</v>
      </c>
      <c r="AB468" s="507">
        <f t="shared" si="258"/>
        <v>0</v>
      </c>
      <c r="AC468" s="507">
        <f t="shared" si="258"/>
        <v>0</v>
      </c>
      <c r="AD468" s="507">
        <f t="shared" si="258"/>
        <v>0</v>
      </c>
      <c r="AE468" s="507">
        <f t="shared" si="258"/>
        <v>0</v>
      </c>
      <c r="AF468" s="507">
        <f t="shared" si="258"/>
        <v>0</v>
      </c>
      <c r="AG468" s="507">
        <f t="shared" si="258"/>
        <v>0</v>
      </c>
      <c r="AH468" s="507">
        <f t="shared" si="258"/>
        <v>0</v>
      </c>
      <c r="AI468" s="516">
        <f t="shared" si="254"/>
        <v>11569428.076440377</v>
      </c>
      <c r="AJ468" s="516">
        <f t="shared" si="255"/>
        <v>15674709.006790189</v>
      </c>
      <c r="AK468" s="516">
        <f t="shared" si="256"/>
        <v>15674709.006790189</v>
      </c>
    </row>
    <row r="469" spans="1:37" x14ac:dyDescent="0.2">
      <c r="A469" s="426"/>
      <c r="B469" s="452" t="s">
        <v>356</v>
      </c>
      <c r="C469" s="465" t="s">
        <v>37</v>
      </c>
      <c r="D469" s="507">
        <f t="shared" si="252"/>
        <v>0</v>
      </c>
      <c r="E469" s="1272">
        <f t="shared" si="252"/>
        <v>0</v>
      </c>
      <c r="F469" s="507">
        <f t="shared" si="252"/>
        <v>0</v>
      </c>
      <c r="G469" s="507">
        <f t="shared" ref="G469:AH469" si="259">G381</f>
        <v>0</v>
      </c>
      <c r="H469" s="507">
        <f t="shared" si="259"/>
        <v>0</v>
      </c>
      <c r="I469" s="507">
        <f t="shared" si="259"/>
        <v>0</v>
      </c>
      <c r="J469" s="507">
        <f t="shared" si="259"/>
        <v>0</v>
      </c>
      <c r="K469" s="507">
        <f t="shared" si="259"/>
        <v>0</v>
      </c>
      <c r="L469" s="507">
        <f t="shared" si="259"/>
        <v>0</v>
      </c>
      <c r="M469" s="507">
        <f t="shared" si="259"/>
        <v>0</v>
      </c>
      <c r="N469" s="507">
        <f t="shared" si="259"/>
        <v>0</v>
      </c>
      <c r="O469" s="507">
        <f t="shared" si="259"/>
        <v>0</v>
      </c>
      <c r="P469" s="507">
        <f t="shared" si="259"/>
        <v>0</v>
      </c>
      <c r="Q469" s="507">
        <f t="shared" si="259"/>
        <v>0</v>
      </c>
      <c r="R469" s="507">
        <f t="shared" si="259"/>
        <v>0</v>
      </c>
      <c r="S469" s="507">
        <f t="shared" si="259"/>
        <v>0</v>
      </c>
      <c r="T469" s="507">
        <f t="shared" si="259"/>
        <v>0</v>
      </c>
      <c r="U469" s="507">
        <f t="shared" si="259"/>
        <v>0</v>
      </c>
      <c r="V469" s="507">
        <f t="shared" si="259"/>
        <v>0</v>
      </c>
      <c r="W469" s="507">
        <f t="shared" si="259"/>
        <v>0</v>
      </c>
      <c r="X469" s="507">
        <f t="shared" si="259"/>
        <v>0</v>
      </c>
      <c r="Y469" s="507">
        <f t="shared" si="259"/>
        <v>0</v>
      </c>
      <c r="Z469" s="507">
        <f t="shared" si="259"/>
        <v>0</v>
      </c>
      <c r="AA469" s="507">
        <f t="shared" si="259"/>
        <v>0</v>
      </c>
      <c r="AB469" s="507">
        <f t="shared" si="259"/>
        <v>0</v>
      </c>
      <c r="AC469" s="507">
        <f t="shared" si="259"/>
        <v>0</v>
      </c>
      <c r="AD469" s="507">
        <f t="shared" si="259"/>
        <v>0</v>
      </c>
      <c r="AE469" s="507">
        <f t="shared" si="259"/>
        <v>0</v>
      </c>
      <c r="AF469" s="507">
        <f t="shared" si="259"/>
        <v>0</v>
      </c>
      <c r="AG469" s="507">
        <f t="shared" si="259"/>
        <v>0</v>
      </c>
      <c r="AH469" s="507">
        <f t="shared" si="259"/>
        <v>0</v>
      </c>
      <c r="AI469" s="516">
        <f t="shared" si="254"/>
        <v>0</v>
      </c>
      <c r="AJ469" s="516">
        <f t="shared" si="255"/>
        <v>0</v>
      </c>
      <c r="AK469" s="600">
        <f t="shared" si="256"/>
        <v>0</v>
      </c>
    </row>
    <row r="470" spans="1:37" x14ac:dyDescent="0.2">
      <c r="A470" s="426"/>
      <c r="B470" s="452" t="s">
        <v>355</v>
      </c>
      <c r="C470" s="465" t="s">
        <v>37</v>
      </c>
      <c r="D470" s="507">
        <f t="shared" si="252"/>
        <v>0</v>
      </c>
      <c r="E470" s="1272">
        <f t="shared" si="252"/>
        <v>0</v>
      </c>
      <c r="F470" s="507">
        <f t="shared" si="252"/>
        <v>0</v>
      </c>
      <c r="G470" s="507">
        <f t="shared" ref="G470:AH470" si="260">G382</f>
        <v>0</v>
      </c>
      <c r="H470" s="507">
        <f t="shared" si="260"/>
        <v>0</v>
      </c>
      <c r="I470" s="507">
        <f t="shared" si="260"/>
        <v>0</v>
      </c>
      <c r="J470" s="507">
        <f t="shared" si="260"/>
        <v>0</v>
      </c>
      <c r="K470" s="507">
        <f t="shared" si="260"/>
        <v>0</v>
      </c>
      <c r="L470" s="507">
        <f t="shared" si="260"/>
        <v>0</v>
      </c>
      <c r="M470" s="507">
        <f t="shared" si="260"/>
        <v>0</v>
      </c>
      <c r="N470" s="507">
        <f t="shared" si="260"/>
        <v>0</v>
      </c>
      <c r="O470" s="507">
        <f t="shared" si="260"/>
        <v>0</v>
      </c>
      <c r="P470" s="507">
        <f t="shared" si="260"/>
        <v>0</v>
      </c>
      <c r="Q470" s="507">
        <f t="shared" si="260"/>
        <v>0</v>
      </c>
      <c r="R470" s="507">
        <f t="shared" si="260"/>
        <v>0</v>
      </c>
      <c r="S470" s="507">
        <f t="shared" si="260"/>
        <v>0</v>
      </c>
      <c r="T470" s="507">
        <f t="shared" si="260"/>
        <v>0</v>
      </c>
      <c r="U470" s="507">
        <f t="shared" si="260"/>
        <v>0</v>
      </c>
      <c r="V470" s="507">
        <f t="shared" si="260"/>
        <v>0</v>
      </c>
      <c r="W470" s="507">
        <f t="shared" si="260"/>
        <v>0</v>
      </c>
      <c r="X470" s="507">
        <f t="shared" si="260"/>
        <v>0</v>
      </c>
      <c r="Y470" s="507">
        <f t="shared" si="260"/>
        <v>0</v>
      </c>
      <c r="Z470" s="507">
        <f t="shared" si="260"/>
        <v>0</v>
      </c>
      <c r="AA470" s="507">
        <f t="shared" si="260"/>
        <v>0</v>
      </c>
      <c r="AB470" s="507">
        <f t="shared" si="260"/>
        <v>0</v>
      </c>
      <c r="AC470" s="507">
        <f t="shared" si="260"/>
        <v>0</v>
      </c>
      <c r="AD470" s="507">
        <f t="shared" si="260"/>
        <v>0</v>
      </c>
      <c r="AE470" s="507">
        <f t="shared" si="260"/>
        <v>0</v>
      </c>
      <c r="AF470" s="507">
        <f t="shared" si="260"/>
        <v>0</v>
      </c>
      <c r="AG470" s="507">
        <f t="shared" si="260"/>
        <v>0</v>
      </c>
      <c r="AH470" s="507">
        <f t="shared" si="260"/>
        <v>0</v>
      </c>
      <c r="AI470" s="516">
        <f t="shared" si="254"/>
        <v>0</v>
      </c>
      <c r="AJ470" s="516">
        <f t="shared" si="255"/>
        <v>0</v>
      </c>
      <c r="AK470" s="600">
        <f t="shared" si="256"/>
        <v>0</v>
      </c>
    </row>
    <row r="471" spans="1:37" x14ac:dyDescent="0.2">
      <c r="A471" s="505"/>
      <c r="B471" s="452" t="s">
        <v>341</v>
      </c>
      <c r="C471" s="465" t="s">
        <v>37</v>
      </c>
      <c r="D471" s="507">
        <f t="shared" si="252"/>
        <v>0</v>
      </c>
      <c r="E471" s="1272">
        <f t="shared" si="252"/>
        <v>285551.8845328571</v>
      </c>
      <c r="F471" s="507">
        <f t="shared" si="252"/>
        <v>271274.29030621424</v>
      </c>
      <c r="G471" s="507">
        <f t="shared" ref="G471:AH471" si="261">G383</f>
        <v>256996.69607957138</v>
      </c>
      <c r="H471" s="507">
        <f t="shared" si="261"/>
        <v>242719.10185292852</v>
      </c>
      <c r="I471" s="507">
        <f t="shared" si="261"/>
        <v>228441.50762628569</v>
      </c>
      <c r="J471" s="507">
        <f t="shared" si="261"/>
        <v>214163.91339964283</v>
      </c>
      <c r="K471" s="507">
        <f t="shared" si="261"/>
        <v>199886.31917299997</v>
      </c>
      <c r="L471" s="507">
        <f t="shared" si="261"/>
        <v>185608.72494635711</v>
      </c>
      <c r="M471" s="507">
        <f t="shared" si="261"/>
        <v>171331.13071971425</v>
      </c>
      <c r="N471" s="507">
        <f t="shared" si="261"/>
        <v>157053.53649307141</v>
      </c>
      <c r="O471" s="507">
        <f t="shared" si="261"/>
        <v>142775.94226642855</v>
      </c>
      <c r="P471" s="507">
        <f t="shared" si="261"/>
        <v>128498.34803978569</v>
      </c>
      <c r="Q471" s="507">
        <f t="shared" si="261"/>
        <v>114220.75381314284</v>
      </c>
      <c r="R471" s="507">
        <f t="shared" si="261"/>
        <v>99943.159586499984</v>
      </c>
      <c r="S471" s="507">
        <f t="shared" si="261"/>
        <v>85665.565359857123</v>
      </c>
      <c r="T471" s="507">
        <f t="shared" si="261"/>
        <v>71387.971133214276</v>
      </c>
      <c r="U471" s="507">
        <f t="shared" si="261"/>
        <v>57110.376906571422</v>
      </c>
      <c r="V471" s="507">
        <f t="shared" si="261"/>
        <v>42832.782679928561</v>
      </c>
      <c r="W471" s="507">
        <f t="shared" si="261"/>
        <v>28555.188453285711</v>
      </c>
      <c r="X471" s="507">
        <f t="shared" si="261"/>
        <v>14277.594226642856</v>
      </c>
      <c r="Y471" s="507">
        <f t="shared" si="261"/>
        <v>0</v>
      </c>
      <c r="Z471" s="507">
        <f t="shared" si="261"/>
        <v>0</v>
      </c>
      <c r="AA471" s="507">
        <f t="shared" si="261"/>
        <v>0</v>
      </c>
      <c r="AB471" s="507">
        <f t="shared" si="261"/>
        <v>0</v>
      </c>
      <c r="AC471" s="507">
        <f t="shared" si="261"/>
        <v>0</v>
      </c>
      <c r="AD471" s="507">
        <f t="shared" si="261"/>
        <v>0</v>
      </c>
      <c r="AE471" s="507">
        <f t="shared" si="261"/>
        <v>0</v>
      </c>
      <c r="AF471" s="507">
        <f t="shared" si="261"/>
        <v>0</v>
      </c>
      <c r="AG471" s="507">
        <f t="shared" si="261"/>
        <v>0</v>
      </c>
      <c r="AH471" s="507">
        <f t="shared" si="261"/>
        <v>0</v>
      </c>
      <c r="AI471" s="516">
        <f t="shared" si="254"/>
        <v>2213027.1051296429</v>
      </c>
      <c r="AJ471" s="516">
        <f t="shared" si="255"/>
        <v>2998294.7875949997</v>
      </c>
      <c r="AK471" s="516">
        <f t="shared" si="256"/>
        <v>2998294.7875949997</v>
      </c>
    </row>
    <row r="472" spans="1:37" x14ac:dyDescent="0.2">
      <c r="A472" s="505"/>
      <c r="B472" s="452" t="s">
        <v>342</v>
      </c>
      <c r="C472" s="465" t="s">
        <v>37</v>
      </c>
      <c r="D472" s="507">
        <f t="shared" si="252"/>
        <v>0</v>
      </c>
      <c r="E472" s="1272">
        <f t="shared" si="252"/>
        <v>82229.884774487684</v>
      </c>
      <c r="F472" s="507">
        <f t="shared" si="252"/>
        <v>78118.390535763305</v>
      </c>
      <c r="G472" s="507">
        <f t="shared" ref="G472:AH472" si="262">G384</f>
        <v>74006.896297038911</v>
      </c>
      <c r="H472" s="507">
        <f t="shared" si="262"/>
        <v>69895.402058314532</v>
      </c>
      <c r="I472" s="507">
        <f t="shared" si="262"/>
        <v>65783.907819590153</v>
      </c>
      <c r="J472" s="507">
        <f t="shared" si="262"/>
        <v>61672.413580865767</v>
      </c>
      <c r="K472" s="507">
        <f t="shared" si="262"/>
        <v>57560.91934214138</v>
      </c>
      <c r="L472" s="507">
        <f t="shared" si="262"/>
        <v>53449.425103416994</v>
      </c>
      <c r="M472" s="507">
        <f t="shared" si="262"/>
        <v>49337.930864692615</v>
      </c>
      <c r="N472" s="507">
        <f t="shared" si="262"/>
        <v>45226.436625968228</v>
      </c>
      <c r="O472" s="507">
        <f t="shared" si="262"/>
        <v>41114.942387243842</v>
      </c>
      <c r="P472" s="507">
        <f t="shared" si="262"/>
        <v>37003.448148519456</v>
      </c>
      <c r="Q472" s="507">
        <f t="shared" si="262"/>
        <v>32891.953909795076</v>
      </c>
      <c r="R472" s="507">
        <f t="shared" si="262"/>
        <v>28780.45967107069</v>
      </c>
      <c r="S472" s="507">
        <f t="shared" si="262"/>
        <v>24668.965432346307</v>
      </c>
      <c r="T472" s="507">
        <f t="shared" si="262"/>
        <v>20557.471193621921</v>
      </c>
      <c r="U472" s="507">
        <f t="shared" si="262"/>
        <v>16445.976954897538</v>
      </c>
      <c r="V472" s="507">
        <f t="shared" si="262"/>
        <v>12334.482716173154</v>
      </c>
      <c r="W472" s="507">
        <f t="shared" si="262"/>
        <v>8222.9884774487691</v>
      </c>
      <c r="X472" s="507">
        <f t="shared" si="262"/>
        <v>4111.4942387243846</v>
      </c>
      <c r="Y472" s="507">
        <f t="shared" si="262"/>
        <v>0</v>
      </c>
      <c r="Z472" s="507">
        <f t="shared" si="262"/>
        <v>0</v>
      </c>
      <c r="AA472" s="507">
        <f t="shared" si="262"/>
        <v>0</v>
      </c>
      <c r="AB472" s="507">
        <f t="shared" si="262"/>
        <v>0</v>
      </c>
      <c r="AC472" s="507">
        <f t="shared" si="262"/>
        <v>0</v>
      </c>
      <c r="AD472" s="507">
        <f t="shared" si="262"/>
        <v>0</v>
      </c>
      <c r="AE472" s="507">
        <f t="shared" si="262"/>
        <v>0</v>
      </c>
      <c r="AF472" s="507">
        <f t="shared" si="262"/>
        <v>0</v>
      </c>
      <c r="AG472" s="507">
        <f t="shared" si="262"/>
        <v>0</v>
      </c>
      <c r="AH472" s="507">
        <f t="shared" si="262"/>
        <v>0</v>
      </c>
      <c r="AI472" s="516">
        <f t="shared" si="254"/>
        <v>637281.6070022796</v>
      </c>
      <c r="AJ472" s="516">
        <f t="shared" si="255"/>
        <v>863413.79013212072</v>
      </c>
      <c r="AK472" s="516">
        <f t="shared" si="256"/>
        <v>863413.79013212072</v>
      </c>
    </row>
    <row r="473" spans="1:37" x14ac:dyDescent="0.2">
      <c r="B473" s="452" t="s">
        <v>344</v>
      </c>
      <c r="C473" s="465" t="s">
        <v>37</v>
      </c>
      <c r="D473" s="507">
        <f t="shared" si="252"/>
        <v>0</v>
      </c>
      <c r="E473" s="1272">
        <f t="shared" si="252"/>
        <v>418393.75741372816</v>
      </c>
      <c r="F473" s="507">
        <f t="shared" si="252"/>
        <v>397474.06954304175</v>
      </c>
      <c r="G473" s="507">
        <f t="shared" ref="G473:AH473" si="263">G385</f>
        <v>376554.38167235535</v>
      </c>
      <c r="H473" s="507">
        <f t="shared" si="263"/>
        <v>355634.69380166894</v>
      </c>
      <c r="I473" s="507">
        <f t="shared" si="263"/>
        <v>334715.00593098253</v>
      </c>
      <c r="J473" s="507">
        <f t="shared" si="263"/>
        <v>313795.31806029612</v>
      </c>
      <c r="K473" s="507">
        <f t="shared" si="263"/>
        <v>292875.63018960971</v>
      </c>
      <c r="L473" s="507">
        <f t="shared" si="263"/>
        <v>271955.94231892331</v>
      </c>
      <c r="M473" s="507">
        <f t="shared" si="263"/>
        <v>251036.2544482369</v>
      </c>
      <c r="N473" s="507">
        <f t="shared" si="263"/>
        <v>230116.56657755049</v>
      </c>
      <c r="O473" s="507">
        <f t="shared" si="263"/>
        <v>209196.87870686408</v>
      </c>
      <c r="P473" s="507">
        <f t="shared" si="263"/>
        <v>188277.19083617767</v>
      </c>
      <c r="Q473" s="507">
        <f t="shared" si="263"/>
        <v>167357.50296549127</v>
      </c>
      <c r="R473" s="507">
        <f t="shared" si="263"/>
        <v>146437.81509480486</v>
      </c>
      <c r="S473" s="507">
        <f t="shared" si="263"/>
        <v>125518.12722411845</v>
      </c>
      <c r="T473" s="507">
        <f t="shared" si="263"/>
        <v>104598.43935343204</v>
      </c>
      <c r="U473" s="507">
        <f t="shared" si="263"/>
        <v>83678.751482745633</v>
      </c>
      <c r="V473" s="507">
        <f t="shared" si="263"/>
        <v>62759.063612059224</v>
      </c>
      <c r="W473" s="507">
        <f t="shared" si="263"/>
        <v>41839.375741372816</v>
      </c>
      <c r="X473" s="507">
        <f t="shared" si="263"/>
        <v>20919.687870686408</v>
      </c>
      <c r="Y473" s="507">
        <f t="shared" si="263"/>
        <v>0</v>
      </c>
      <c r="Z473" s="507">
        <f t="shared" si="263"/>
        <v>0</v>
      </c>
      <c r="AA473" s="507">
        <f t="shared" si="263"/>
        <v>0</v>
      </c>
      <c r="AB473" s="507">
        <f t="shared" si="263"/>
        <v>0</v>
      </c>
      <c r="AC473" s="507">
        <f t="shared" si="263"/>
        <v>0</v>
      </c>
      <c r="AD473" s="507">
        <f t="shared" si="263"/>
        <v>0</v>
      </c>
      <c r="AE473" s="507">
        <f t="shared" si="263"/>
        <v>0</v>
      </c>
      <c r="AF473" s="507">
        <f t="shared" si="263"/>
        <v>0</v>
      </c>
      <c r="AG473" s="507">
        <f t="shared" si="263"/>
        <v>0</v>
      </c>
      <c r="AH473" s="507">
        <f t="shared" si="263"/>
        <v>0</v>
      </c>
      <c r="AI473" s="516">
        <f t="shared" si="254"/>
        <v>3242551.6199563933</v>
      </c>
      <c r="AJ473" s="516">
        <f t="shared" si="255"/>
        <v>4393134.4528441448</v>
      </c>
      <c r="AK473" s="516">
        <f t="shared" si="256"/>
        <v>4393134.4528441448</v>
      </c>
    </row>
    <row r="474" spans="1:37" x14ac:dyDescent="0.2">
      <c r="B474" s="452" t="s">
        <v>345</v>
      </c>
      <c r="C474" s="465" t="s">
        <v>37</v>
      </c>
      <c r="D474" s="507">
        <f t="shared" si="252"/>
        <v>0</v>
      </c>
      <c r="E474" s="1272">
        <f t="shared" si="252"/>
        <v>492879.93801380845</v>
      </c>
      <c r="F474" s="507">
        <f t="shared" si="252"/>
        <v>468235.94111311802</v>
      </c>
      <c r="G474" s="507">
        <f t="shared" ref="G474:AH474" si="264">G386</f>
        <v>443591.9442124276</v>
      </c>
      <c r="H474" s="507">
        <f t="shared" si="264"/>
        <v>418947.94731173717</v>
      </c>
      <c r="I474" s="507">
        <f t="shared" si="264"/>
        <v>394303.95041104674</v>
      </c>
      <c r="J474" s="507">
        <f t="shared" si="264"/>
        <v>369659.95351035637</v>
      </c>
      <c r="K474" s="507">
        <f t="shared" si="264"/>
        <v>345015.95660966594</v>
      </c>
      <c r="L474" s="507">
        <f t="shared" si="264"/>
        <v>320371.95970897551</v>
      </c>
      <c r="M474" s="507">
        <f t="shared" si="264"/>
        <v>295727.96280828508</v>
      </c>
      <c r="N474" s="507">
        <f t="shared" si="264"/>
        <v>271083.96590759465</v>
      </c>
      <c r="O474" s="507">
        <f t="shared" si="264"/>
        <v>246439.96900690423</v>
      </c>
      <c r="P474" s="507">
        <f t="shared" si="264"/>
        <v>221795.9721062138</v>
      </c>
      <c r="Q474" s="507">
        <f t="shared" si="264"/>
        <v>197151.97520552337</v>
      </c>
      <c r="R474" s="507">
        <f t="shared" si="264"/>
        <v>172507.97830483297</v>
      </c>
      <c r="S474" s="507">
        <f t="shared" si="264"/>
        <v>147863.98140414254</v>
      </c>
      <c r="T474" s="507">
        <f t="shared" si="264"/>
        <v>123219.98450345211</v>
      </c>
      <c r="U474" s="507">
        <f t="shared" si="264"/>
        <v>98575.987602761685</v>
      </c>
      <c r="V474" s="507">
        <f t="shared" si="264"/>
        <v>73931.990702071271</v>
      </c>
      <c r="W474" s="507">
        <f t="shared" si="264"/>
        <v>49287.993801380842</v>
      </c>
      <c r="X474" s="507">
        <f t="shared" si="264"/>
        <v>24643.996900690421</v>
      </c>
      <c r="Y474" s="507">
        <f t="shared" si="264"/>
        <v>0</v>
      </c>
      <c r="Z474" s="507">
        <f t="shared" si="264"/>
        <v>0</v>
      </c>
      <c r="AA474" s="507">
        <f t="shared" si="264"/>
        <v>0</v>
      </c>
      <c r="AB474" s="507">
        <f t="shared" si="264"/>
        <v>0</v>
      </c>
      <c r="AC474" s="507">
        <f t="shared" si="264"/>
        <v>0</v>
      </c>
      <c r="AD474" s="507">
        <f t="shared" si="264"/>
        <v>0</v>
      </c>
      <c r="AE474" s="507">
        <f t="shared" si="264"/>
        <v>0</v>
      </c>
      <c r="AF474" s="507">
        <f t="shared" si="264"/>
        <v>0</v>
      </c>
      <c r="AG474" s="507">
        <f t="shared" si="264"/>
        <v>0</v>
      </c>
      <c r="AH474" s="507">
        <f t="shared" si="264"/>
        <v>0</v>
      </c>
      <c r="AI474" s="516">
        <f t="shared" si="254"/>
        <v>3819819.519607015</v>
      </c>
      <c r="AJ474" s="516">
        <f t="shared" si="255"/>
        <v>5175239.3491449878</v>
      </c>
      <c r="AK474" s="516">
        <f t="shared" si="256"/>
        <v>5175239.3491449878</v>
      </c>
    </row>
    <row r="475" spans="1:37" x14ac:dyDescent="0.2">
      <c r="B475" s="452" t="s">
        <v>346</v>
      </c>
      <c r="C475" s="465" t="s">
        <v>37</v>
      </c>
      <c r="D475" s="507">
        <f t="shared" si="252"/>
        <v>0</v>
      </c>
      <c r="E475" s="1272">
        <f t="shared" si="252"/>
        <v>101837.82788526034</v>
      </c>
      <c r="F475" s="507">
        <f t="shared" si="252"/>
        <v>96745.936490997323</v>
      </c>
      <c r="G475" s="507">
        <f t="shared" ref="G475:AH475" si="265">G387</f>
        <v>91654.045096734306</v>
      </c>
      <c r="H475" s="507">
        <f t="shared" si="265"/>
        <v>86562.153702471289</v>
      </c>
      <c r="I475" s="507">
        <f t="shared" si="265"/>
        <v>81470.262308208272</v>
      </c>
      <c r="J475" s="507">
        <f t="shared" si="265"/>
        <v>76378.370913945255</v>
      </c>
      <c r="K475" s="507">
        <f t="shared" si="265"/>
        <v>71286.479519682238</v>
      </c>
      <c r="L475" s="507">
        <f t="shared" si="265"/>
        <v>66194.588125419221</v>
      </c>
      <c r="M475" s="507">
        <f t="shared" si="265"/>
        <v>61102.696731156197</v>
      </c>
      <c r="N475" s="507">
        <f t="shared" si="265"/>
        <v>56010.80533689318</v>
      </c>
      <c r="O475" s="507">
        <f t="shared" si="265"/>
        <v>50918.91394263017</v>
      </c>
      <c r="P475" s="507">
        <f t="shared" si="265"/>
        <v>45827.022548367153</v>
      </c>
      <c r="Q475" s="507">
        <f t="shared" si="265"/>
        <v>40735.131154104136</v>
      </c>
      <c r="R475" s="507">
        <f t="shared" si="265"/>
        <v>35643.239759841119</v>
      </c>
      <c r="S475" s="507">
        <f t="shared" si="265"/>
        <v>30551.348365578098</v>
      </c>
      <c r="T475" s="507">
        <f t="shared" si="265"/>
        <v>25459.456971315085</v>
      </c>
      <c r="U475" s="507">
        <f t="shared" si="265"/>
        <v>20367.565577052068</v>
      </c>
      <c r="V475" s="507">
        <f t="shared" si="265"/>
        <v>15275.674182789049</v>
      </c>
      <c r="W475" s="507">
        <f t="shared" si="265"/>
        <v>10183.782788526034</v>
      </c>
      <c r="X475" s="507">
        <f t="shared" si="265"/>
        <v>5091.891394263017</v>
      </c>
      <c r="Y475" s="507">
        <f t="shared" si="265"/>
        <v>0</v>
      </c>
      <c r="Z475" s="507">
        <f t="shared" si="265"/>
        <v>0</v>
      </c>
      <c r="AA475" s="507">
        <f t="shared" si="265"/>
        <v>0</v>
      </c>
      <c r="AB475" s="507">
        <f t="shared" si="265"/>
        <v>0</v>
      </c>
      <c r="AC475" s="507">
        <f t="shared" si="265"/>
        <v>0</v>
      </c>
      <c r="AD475" s="507">
        <f t="shared" si="265"/>
        <v>0</v>
      </c>
      <c r="AE475" s="507">
        <f t="shared" si="265"/>
        <v>0</v>
      </c>
      <c r="AF475" s="507">
        <f t="shared" si="265"/>
        <v>0</v>
      </c>
      <c r="AG475" s="507">
        <f t="shared" si="265"/>
        <v>0</v>
      </c>
      <c r="AH475" s="507">
        <f t="shared" si="265"/>
        <v>0</v>
      </c>
      <c r="AI475" s="516">
        <f t="shared" si="254"/>
        <v>789243.16611076763</v>
      </c>
      <c r="AJ475" s="516">
        <f t="shared" si="255"/>
        <v>1069297.1927952333</v>
      </c>
      <c r="AK475" s="516">
        <f t="shared" si="256"/>
        <v>1069297.1927952333</v>
      </c>
    </row>
    <row r="476" spans="1:37" s="478" customFormat="1" x14ac:dyDescent="0.2">
      <c r="B476" s="452" t="s">
        <v>347</v>
      </c>
      <c r="C476" s="465" t="s">
        <v>37</v>
      </c>
      <c r="D476" s="507">
        <f t="shared" si="252"/>
        <v>0</v>
      </c>
      <c r="E476" s="1272">
        <f t="shared" si="252"/>
        <v>32218.034179981452</v>
      </c>
      <c r="F476" s="507">
        <f t="shared" si="252"/>
        <v>30607.132470982382</v>
      </c>
      <c r="G476" s="507">
        <f t="shared" ref="G476:AH476" si="266">G388</f>
        <v>28996.230761983308</v>
      </c>
      <c r="H476" s="507">
        <f t="shared" si="266"/>
        <v>27385.329052984234</v>
      </c>
      <c r="I476" s="507">
        <f t="shared" si="266"/>
        <v>25774.427343985164</v>
      </c>
      <c r="J476" s="507">
        <f t="shared" si="266"/>
        <v>24163.52563498609</v>
      </c>
      <c r="K476" s="507">
        <f t="shared" si="266"/>
        <v>22552.623925987016</v>
      </c>
      <c r="L476" s="507">
        <f t="shared" si="266"/>
        <v>20941.722216987946</v>
      </c>
      <c r="M476" s="507">
        <f t="shared" si="266"/>
        <v>19330.820507988872</v>
      </c>
      <c r="N476" s="507">
        <f t="shared" si="266"/>
        <v>17719.918798989798</v>
      </c>
      <c r="O476" s="507">
        <f t="shared" si="266"/>
        <v>16109.017089990726</v>
      </c>
      <c r="P476" s="507">
        <f t="shared" si="266"/>
        <v>14498.115380991654</v>
      </c>
      <c r="Q476" s="507">
        <f t="shared" si="266"/>
        <v>12887.213671992582</v>
      </c>
      <c r="R476" s="507">
        <f t="shared" si="266"/>
        <v>11276.311962993508</v>
      </c>
      <c r="S476" s="507">
        <f t="shared" si="266"/>
        <v>9665.4102539944361</v>
      </c>
      <c r="T476" s="507">
        <f t="shared" si="266"/>
        <v>8054.5085449953631</v>
      </c>
      <c r="U476" s="507">
        <f t="shared" si="266"/>
        <v>6443.606835996291</v>
      </c>
      <c r="V476" s="507">
        <f t="shared" si="266"/>
        <v>4832.705126997218</v>
      </c>
      <c r="W476" s="507">
        <f t="shared" si="266"/>
        <v>3221.8034179981455</v>
      </c>
      <c r="X476" s="507">
        <f t="shared" si="266"/>
        <v>1610.9017089990728</v>
      </c>
      <c r="Y476" s="507">
        <f t="shared" si="266"/>
        <v>0</v>
      </c>
      <c r="Z476" s="507">
        <f t="shared" si="266"/>
        <v>0</v>
      </c>
      <c r="AA476" s="507">
        <f t="shared" si="266"/>
        <v>0</v>
      </c>
      <c r="AB476" s="507">
        <f t="shared" si="266"/>
        <v>0</v>
      </c>
      <c r="AC476" s="507">
        <f t="shared" si="266"/>
        <v>0</v>
      </c>
      <c r="AD476" s="507">
        <f t="shared" si="266"/>
        <v>0</v>
      </c>
      <c r="AE476" s="507">
        <f t="shared" si="266"/>
        <v>0</v>
      </c>
      <c r="AF476" s="507">
        <f t="shared" si="266"/>
        <v>0</v>
      </c>
      <c r="AG476" s="507">
        <f t="shared" si="266"/>
        <v>0</v>
      </c>
      <c r="AH476" s="507">
        <f t="shared" si="266"/>
        <v>0</v>
      </c>
      <c r="AI476" s="516">
        <f t="shared" si="254"/>
        <v>249689.76489485626</v>
      </c>
      <c r="AJ476" s="516">
        <f t="shared" si="255"/>
        <v>338289.35888980527</v>
      </c>
      <c r="AK476" s="516">
        <f t="shared" si="256"/>
        <v>338289.35888980527</v>
      </c>
    </row>
    <row r="477" spans="1:37" x14ac:dyDescent="0.2">
      <c r="A477" s="1256" t="s">
        <v>1049</v>
      </c>
      <c r="B477" s="452"/>
      <c r="C477" s="465"/>
      <c r="D477" s="507">
        <f t="shared" ref="D477:F477" si="267">D390</f>
        <v>0</v>
      </c>
      <c r="E477" s="1272">
        <f t="shared" si="267"/>
        <v>6087333.8991103154</v>
      </c>
      <c r="F477" s="507">
        <f t="shared" si="267"/>
        <v>5782967.2041547988</v>
      </c>
      <c r="G477" s="507">
        <f t="shared" ref="G477:AH477" si="268">G390</f>
        <v>5478600.5091992831</v>
      </c>
      <c r="H477" s="507">
        <f t="shared" si="268"/>
        <v>5174233.8142437674</v>
      </c>
      <c r="I477" s="507">
        <f t="shared" si="268"/>
        <v>4869867.1192882517</v>
      </c>
      <c r="J477" s="507">
        <f t="shared" si="268"/>
        <v>4565500.4243327361</v>
      </c>
      <c r="K477" s="507">
        <f t="shared" si="268"/>
        <v>4261133.7293772195</v>
      </c>
      <c r="L477" s="507">
        <f t="shared" si="268"/>
        <v>3956767.0344217042</v>
      </c>
      <c r="M477" s="507">
        <f t="shared" si="268"/>
        <v>3652400.339466189</v>
      </c>
      <c r="N477" s="507">
        <f t="shared" si="268"/>
        <v>3348033.6445106734</v>
      </c>
      <c r="O477" s="507">
        <f t="shared" si="268"/>
        <v>3043666.9495551577</v>
      </c>
      <c r="P477" s="507">
        <f t="shared" si="268"/>
        <v>2739300.2545996415</v>
      </c>
      <c r="Q477" s="507">
        <f t="shared" si="268"/>
        <v>2434933.5596441259</v>
      </c>
      <c r="R477" s="507">
        <f t="shared" si="268"/>
        <v>2130566.8646886097</v>
      </c>
      <c r="S477" s="507">
        <f t="shared" si="268"/>
        <v>1826200.1697330945</v>
      </c>
      <c r="T477" s="507">
        <f t="shared" si="268"/>
        <v>1521833.4747775788</v>
      </c>
      <c r="U477" s="507">
        <f t="shared" si="268"/>
        <v>1217466.7798220629</v>
      </c>
      <c r="V477" s="507">
        <f t="shared" si="268"/>
        <v>913100.08486654726</v>
      </c>
      <c r="W477" s="507">
        <f t="shared" si="268"/>
        <v>608733.38991103147</v>
      </c>
      <c r="X477" s="507">
        <f t="shared" si="268"/>
        <v>304366.69495551573</v>
      </c>
      <c r="Y477" s="507">
        <f t="shared" si="268"/>
        <v>0</v>
      </c>
      <c r="Z477" s="507">
        <f t="shared" si="268"/>
        <v>0</v>
      </c>
      <c r="AA477" s="507">
        <f t="shared" si="268"/>
        <v>0</v>
      </c>
      <c r="AB477" s="507">
        <f t="shared" si="268"/>
        <v>0</v>
      </c>
      <c r="AC477" s="507">
        <f t="shared" si="268"/>
        <v>0</v>
      </c>
      <c r="AD477" s="507">
        <f t="shared" si="268"/>
        <v>0</v>
      </c>
      <c r="AE477" s="507">
        <f t="shared" si="268"/>
        <v>0</v>
      </c>
      <c r="AF477" s="507">
        <f t="shared" si="268"/>
        <v>0</v>
      </c>
      <c r="AG477" s="507">
        <f t="shared" si="268"/>
        <v>0</v>
      </c>
      <c r="AH477" s="507">
        <f t="shared" si="268"/>
        <v>0</v>
      </c>
      <c r="AI477" s="516">
        <f t="shared" si="254"/>
        <v>47176837.718104936</v>
      </c>
      <c r="AJ477" s="516">
        <f t="shared" si="255"/>
        <v>63917005.940658301</v>
      </c>
      <c r="AK477" s="516">
        <f t="shared" si="256"/>
        <v>63917005.940658301</v>
      </c>
    </row>
    <row r="478" spans="1:37" x14ac:dyDescent="0.2">
      <c r="A478" s="1257" t="s">
        <v>1051</v>
      </c>
      <c r="B478" s="1258"/>
      <c r="C478" s="1259" t="s">
        <v>37</v>
      </c>
      <c r="D478" s="1254">
        <f t="shared" ref="D478:F478" si="269">D389</f>
        <v>0</v>
      </c>
      <c r="E478" s="1273">
        <f t="shared" si="269"/>
        <v>3912666.1008896851</v>
      </c>
      <c r="F478" s="1254">
        <f t="shared" si="269"/>
        <v>3717032.7958452012</v>
      </c>
      <c r="G478" s="1254">
        <f t="shared" ref="G478:AH478" si="270">G389</f>
        <v>3521399.4908007169</v>
      </c>
      <c r="H478" s="1254">
        <f t="shared" si="270"/>
        <v>3325766.1857562321</v>
      </c>
      <c r="I478" s="1254">
        <f t="shared" si="270"/>
        <v>3130132.8807117483</v>
      </c>
      <c r="J478" s="1254">
        <f t="shared" si="270"/>
        <v>2934499.5756672635</v>
      </c>
      <c r="K478" s="1254">
        <f t="shared" si="270"/>
        <v>2738866.2706227801</v>
      </c>
      <c r="L478" s="1254">
        <f t="shared" si="270"/>
        <v>2543232.9655782958</v>
      </c>
      <c r="M478" s="1254">
        <f t="shared" si="270"/>
        <v>2347599.660533811</v>
      </c>
      <c r="N478" s="1254">
        <f t="shared" si="270"/>
        <v>2151966.3554893266</v>
      </c>
      <c r="O478" s="1254">
        <f t="shared" si="270"/>
        <v>1956333.0504448425</v>
      </c>
      <c r="P478" s="1254">
        <f t="shared" si="270"/>
        <v>1760699.7454003585</v>
      </c>
      <c r="Q478" s="1254">
        <f t="shared" si="270"/>
        <v>1565066.4403558741</v>
      </c>
      <c r="R478" s="1254">
        <f t="shared" si="270"/>
        <v>1369433.13531139</v>
      </c>
      <c r="S478" s="1254">
        <f t="shared" si="270"/>
        <v>1173799.8302669055</v>
      </c>
      <c r="T478" s="1254">
        <f t="shared" si="270"/>
        <v>978166.52522242127</v>
      </c>
      <c r="U478" s="1254">
        <f t="shared" si="270"/>
        <v>782533.22017793707</v>
      </c>
      <c r="V478" s="1254">
        <f t="shared" si="270"/>
        <v>586899.91513345274</v>
      </c>
      <c r="W478" s="1254">
        <f t="shared" si="270"/>
        <v>391266.61008896853</v>
      </c>
      <c r="X478" s="1254">
        <f t="shared" si="270"/>
        <v>195633.30504448427</v>
      </c>
      <c r="Y478" s="1254">
        <f t="shared" si="270"/>
        <v>0</v>
      </c>
      <c r="Z478" s="1254">
        <f t="shared" si="270"/>
        <v>0</v>
      </c>
      <c r="AA478" s="1254">
        <f t="shared" si="270"/>
        <v>0</v>
      </c>
      <c r="AB478" s="1254">
        <f t="shared" si="270"/>
        <v>0</v>
      </c>
      <c r="AC478" s="1254">
        <f t="shared" si="270"/>
        <v>0</v>
      </c>
      <c r="AD478" s="1254">
        <f t="shared" si="270"/>
        <v>0</v>
      </c>
      <c r="AE478" s="1254">
        <f t="shared" si="270"/>
        <v>0</v>
      </c>
      <c r="AF478" s="1254">
        <f t="shared" si="270"/>
        <v>0</v>
      </c>
      <c r="AG478" s="1254">
        <f t="shared" si="270"/>
        <v>0</v>
      </c>
      <c r="AH478" s="1254">
        <f t="shared" si="270"/>
        <v>0</v>
      </c>
      <c r="AI478" s="515">
        <f t="shared" si="254"/>
        <v>30323162.281895056</v>
      </c>
      <c r="AJ478" s="515">
        <f t="shared" si="255"/>
        <v>41082994.059341691</v>
      </c>
      <c r="AK478" s="515">
        <f t="shared" si="256"/>
        <v>41082994.059341691</v>
      </c>
    </row>
    <row r="479" spans="1:37" x14ac:dyDescent="0.2">
      <c r="A479" s="1251" t="s">
        <v>284</v>
      </c>
      <c r="B479" s="1258"/>
      <c r="C479" s="1259" t="s">
        <v>37</v>
      </c>
      <c r="D479" s="1254">
        <f>SUM(D466,D477)</f>
        <v>0</v>
      </c>
      <c r="E479" s="1273">
        <f>SUM(E466,E477)</f>
        <v>16087333.899110315</v>
      </c>
      <c r="F479" s="1254">
        <f t="shared" ref="F479:AH479" si="271">SUM(F466,F477)</f>
        <v>15282967.204154799</v>
      </c>
      <c r="G479" s="1254">
        <f t="shared" si="271"/>
        <v>14478600.509199284</v>
      </c>
      <c r="H479" s="1254">
        <f t="shared" si="271"/>
        <v>13674233.814243767</v>
      </c>
      <c r="I479" s="1254">
        <f t="shared" si="271"/>
        <v>12869867.119288251</v>
      </c>
      <c r="J479" s="1254">
        <f t="shared" si="271"/>
        <v>12065500.424332736</v>
      </c>
      <c r="K479" s="1254">
        <f t="shared" si="271"/>
        <v>11261133.729377219</v>
      </c>
      <c r="L479" s="1254">
        <f t="shared" si="271"/>
        <v>10456767.034421705</v>
      </c>
      <c r="M479" s="1254">
        <f t="shared" si="271"/>
        <v>9652400.3394661881</v>
      </c>
      <c r="N479" s="1254">
        <f t="shared" si="271"/>
        <v>8848033.6445106734</v>
      </c>
      <c r="O479" s="1254">
        <f t="shared" si="271"/>
        <v>8043666.9495551577</v>
      </c>
      <c r="P479" s="1254">
        <f t="shared" si="271"/>
        <v>7239300.254599642</v>
      </c>
      <c r="Q479" s="1254">
        <f t="shared" si="271"/>
        <v>6434933.5596441254</v>
      </c>
      <c r="R479" s="1254">
        <f t="shared" si="271"/>
        <v>5630566.8646886097</v>
      </c>
      <c r="S479" s="1254">
        <f t="shared" si="271"/>
        <v>4826200.1697330941</v>
      </c>
      <c r="T479" s="1254">
        <f t="shared" si="271"/>
        <v>4021833.4747775788</v>
      </c>
      <c r="U479" s="1254">
        <f t="shared" si="271"/>
        <v>3217466.7798220627</v>
      </c>
      <c r="V479" s="1254">
        <f t="shared" si="271"/>
        <v>2413100.084866547</v>
      </c>
      <c r="W479" s="1254">
        <f t="shared" si="271"/>
        <v>1608733.3899110314</v>
      </c>
      <c r="X479" s="1254">
        <f t="shared" si="271"/>
        <v>804366.69495551568</v>
      </c>
      <c r="Y479" s="1254">
        <f t="shared" si="271"/>
        <v>0</v>
      </c>
      <c r="Z479" s="1254">
        <f t="shared" si="271"/>
        <v>0</v>
      </c>
      <c r="AA479" s="1254">
        <f t="shared" si="271"/>
        <v>0</v>
      </c>
      <c r="AB479" s="1254">
        <f t="shared" si="271"/>
        <v>0</v>
      </c>
      <c r="AC479" s="1254">
        <f t="shared" si="271"/>
        <v>0</v>
      </c>
      <c r="AD479" s="1254">
        <f t="shared" si="271"/>
        <v>0</v>
      </c>
      <c r="AE479" s="1254">
        <f t="shared" si="271"/>
        <v>0</v>
      </c>
      <c r="AF479" s="1254">
        <f t="shared" si="271"/>
        <v>0</v>
      </c>
      <c r="AG479" s="1254">
        <f t="shared" si="271"/>
        <v>0</v>
      </c>
      <c r="AH479" s="1254">
        <f t="shared" si="271"/>
        <v>0</v>
      </c>
      <c r="AI479" s="1279">
        <f t="shared" si="254"/>
        <v>124676837.71810494</v>
      </c>
      <c r="AJ479" s="1279">
        <f t="shared" si="255"/>
        <v>168917005.94065833</v>
      </c>
      <c r="AK479" s="1279">
        <f t="shared" si="256"/>
        <v>168917005.94065833</v>
      </c>
    </row>
    <row r="480" spans="1:37" x14ac:dyDescent="0.2">
      <c r="B480" s="452"/>
      <c r="C480" s="478"/>
      <c r="D480" s="507"/>
      <c r="E480" s="1272"/>
      <c r="F480" s="507"/>
      <c r="G480" s="507"/>
      <c r="H480" s="507"/>
      <c r="I480" s="507"/>
      <c r="J480" s="507"/>
      <c r="K480" s="507"/>
      <c r="L480" s="507"/>
      <c r="M480" s="507"/>
      <c r="N480" s="507"/>
      <c r="O480" s="507"/>
      <c r="P480" s="507"/>
      <c r="Q480" s="507"/>
      <c r="R480" s="507"/>
      <c r="S480" s="507"/>
      <c r="T480" s="507"/>
      <c r="U480" s="507"/>
      <c r="V480" s="507"/>
      <c r="W480" s="507"/>
      <c r="X480" s="507"/>
      <c r="Y480" s="507"/>
      <c r="Z480" s="507"/>
      <c r="AA480" s="507"/>
      <c r="AB480" s="507"/>
      <c r="AC480" s="507"/>
      <c r="AD480" s="507"/>
      <c r="AE480" s="507"/>
      <c r="AF480" s="507"/>
      <c r="AG480" s="507"/>
      <c r="AH480" s="507"/>
      <c r="AI480" s="507"/>
      <c r="AJ480" s="507"/>
    </row>
    <row r="481" spans="1:37" ht="11.5" thickBot="1" x14ac:dyDescent="0.25">
      <c r="A481" s="478" t="s">
        <v>287</v>
      </c>
    </row>
    <row r="482" spans="1:37" ht="12" thickBot="1" x14ac:dyDescent="0.3">
      <c r="A482" s="459"/>
      <c r="B482" s="521" t="s">
        <v>274</v>
      </c>
      <c r="C482" s="460"/>
      <c r="D482" s="594">
        <v>0</v>
      </c>
      <c r="E482" s="461">
        <v>1</v>
      </c>
      <c r="F482" s="461">
        <v>2</v>
      </c>
      <c r="G482" s="461">
        <v>3</v>
      </c>
      <c r="H482" s="461">
        <v>4</v>
      </c>
      <c r="I482" s="461">
        <v>5</v>
      </c>
      <c r="J482" s="461">
        <v>6</v>
      </c>
      <c r="K482" s="461">
        <v>7</v>
      </c>
      <c r="L482" s="461">
        <v>8</v>
      </c>
      <c r="M482" s="461">
        <v>9</v>
      </c>
      <c r="N482" s="461">
        <v>10</v>
      </c>
      <c r="O482" s="461">
        <v>11</v>
      </c>
      <c r="P482" s="461">
        <v>12</v>
      </c>
      <c r="Q482" s="461">
        <v>13</v>
      </c>
      <c r="R482" s="461">
        <v>14</v>
      </c>
      <c r="S482" s="461">
        <v>15</v>
      </c>
      <c r="T482" s="461">
        <v>16</v>
      </c>
      <c r="U482" s="461">
        <v>17</v>
      </c>
      <c r="V482" s="461">
        <v>18</v>
      </c>
      <c r="W482" s="461">
        <v>19</v>
      </c>
      <c r="X482" s="462">
        <v>20</v>
      </c>
      <c r="Y482" s="462">
        <v>21</v>
      </c>
      <c r="Z482" s="462">
        <v>22</v>
      </c>
      <c r="AA482" s="462">
        <v>23</v>
      </c>
      <c r="AB482" s="462">
        <v>24</v>
      </c>
      <c r="AC482" s="462">
        <v>25</v>
      </c>
      <c r="AD482" s="462">
        <v>26</v>
      </c>
      <c r="AE482" s="462">
        <v>27</v>
      </c>
      <c r="AF482" s="462">
        <v>28</v>
      </c>
      <c r="AG482" s="462">
        <v>29</v>
      </c>
      <c r="AH482" s="476">
        <v>30</v>
      </c>
      <c r="AI482" s="534" t="s">
        <v>306</v>
      </c>
      <c r="AJ482" s="537" t="s">
        <v>270</v>
      </c>
      <c r="AK482" s="539" t="s">
        <v>271</v>
      </c>
    </row>
    <row r="483" spans="1:37" x14ac:dyDescent="0.2">
      <c r="A483" s="543" t="s">
        <v>55</v>
      </c>
      <c r="B483" s="478"/>
      <c r="C483" s="465" t="s">
        <v>37</v>
      </c>
      <c r="D483" s="507"/>
      <c r="E483" s="507"/>
      <c r="F483" s="507"/>
      <c r="G483" s="507"/>
      <c r="H483" s="507"/>
      <c r="I483" s="507"/>
      <c r="J483" s="507"/>
      <c r="K483" s="507"/>
      <c r="L483" s="507"/>
      <c r="M483" s="507"/>
      <c r="N483" s="507"/>
      <c r="O483" s="507"/>
      <c r="P483" s="507"/>
      <c r="Q483" s="507"/>
      <c r="R483" s="507"/>
      <c r="S483" s="507"/>
      <c r="T483" s="507"/>
      <c r="U483" s="507"/>
      <c r="V483" s="507"/>
      <c r="W483" s="507"/>
      <c r="X483" s="507"/>
      <c r="Y483" s="507"/>
      <c r="Z483" s="507"/>
      <c r="AA483" s="507"/>
      <c r="AB483" s="507"/>
      <c r="AC483" s="507"/>
      <c r="AD483" s="507"/>
      <c r="AE483" s="507"/>
      <c r="AF483" s="507"/>
      <c r="AG483" s="507"/>
      <c r="AH483" s="507"/>
      <c r="AI483" s="554">
        <f>SUM(D483:N483)</f>
        <v>0</v>
      </c>
      <c r="AJ483" s="555">
        <f>SUM(D483:X483)</f>
        <v>0</v>
      </c>
      <c r="AK483" s="556">
        <f>SUM(D483:AH483)</f>
        <v>0</v>
      </c>
    </row>
    <row r="484" spans="1:37" x14ac:dyDescent="0.2">
      <c r="A484" s="544" t="s">
        <v>288</v>
      </c>
      <c r="B484" s="478"/>
      <c r="C484" s="465" t="s">
        <v>37</v>
      </c>
      <c r="D484" s="507">
        <f t="shared" ref="D484" si="272">SUM(D485:D487)</f>
        <v>0</v>
      </c>
      <c r="E484" s="507">
        <f>SUM(E485:E487)</f>
        <v>68600664.902343765</v>
      </c>
      <c r="F484" s="507">
        <f t="shared" ref="F484:AH484" si="273">SUM(F485:F487)</f>
        <v>68600664.902343765</v>
      </c>
      <c r="G484" s="507">
        <f t="shared" si="273"/>
        <v>68600664.902343765</v>
      </c>
      <c r="H484" s="507">
        <f t="shared" si="273"/>
        <v>68600664.902343765</v>
      </c>
      <c r="I484" s="507">
        <f t="shared" si="273"/>
        <v>68600664.902343765</v>
      </c>
      <c r="J484" s="507">
        <f t="shared" si="273"/>
        <v>68600664.902343765</v>
      </c>
      <c r="K484" s="507">
        <f t="shared" si="273"/>
        <v>68600664.902343765</v>
      </c>
      <c r="L484" s="507">
        <f t="shared" si="273"/>
        <v>68600664.902343765</v>
      </c>
      <c r="M484" s="507">
        <f t="shared" si="273"/>
        <v>68600664.902343765</v>
      </c>
      <c r="N484" s="507">
        <f t="shared" si="273"/>
        <v>68600664.902343765</v>
      </c>
      <c r="O484" s="507">
        <f t="shared" si="273"/>
        <v>68600664.902343765</v>
      </c>
      <c r="P484" s="507">
        <f t="shared" si="273"/>
        <v>68600664.902343765</v>
      </c>
      <c r="Q484" s="507">
        <f t="shared" si="273"/>
        <v>68600664.902343765</v>
      </c>
      <c r="R484" s="507">
        <f t="shared" si="273"/>
        <v>68600664.902343765</v>
      </c>
      <c r="S484" s="507">
        <f t="shared" si="273"/>
        <v>68600664.902343765</v>
      </c>
      <c r="T484" s="507">
        <f t="shared" si="273"/>
        <v>68600664.902343765</v>
      </c>
      <c r="U484" s="507">
        <f t="shared" si="273"/>
        <v>68600664.902343765</v>
      </c>
      <c r="V484" s="507">
        <f t="shared" si="273"/>
        <v>68600664.902343765</v>
      </c>
      <c r="W484" s="507">
        <f t="shared" si="273"/>
        <v>68600664.902343765</v>
      </c>
      <c r="X484" s="507">
        <f t="shared" si="273"/>
        <v>68600664.902343765</v>
      </c>
      <c r="Y484" s="507">
        <f t="shared" si="273"/>
        <v>68600664.902343765</v>
      </c>
      <c r="Z484" s="507">
        <f t="shared" si="273"/>
        <v>68600664.902343765</v>
      </c>
      <c r="AA484" s="507">
        <f t="shared" si="273"/>
        <v>68600664.902343765</v>
      </c>
      <c r="AB484" s="507">
        <f t="shared" si="273"/>
        <v>68600664.902343765</v>
      </c>
      <c r="AC484" s="507">
        <f t="shared" si="273"/>
        <v>68600664.902343765</v>
      </c>
      <c r="AD484" s="507">
        <f t="shared" si="273"/>
        <v>68600664.902343765</v>
      </c>
      <c r="AE484" s="507">
        <f t="shared" si="273"/>
        <v>68600664.902343765</v>
      </c>
      <c r="AF484" s="507">
        <f t="shared" si="273"/>
        <v>68600664.902343765</v>
      </c>
      <c r="AG484" s="507">
        <f t="shared" si="273"/>
        <v>68600664.902343765</v>
      </c>
      <c r="AH484" s="507">
        <f t="shared" si="273"/>
        <v>68600664.902343765</v>
      </c>
      <c r="AI484" s="557">
        <f t="shared" ref="AI484:AI507" si="274">SUM(D484:N484)</f>
        <v>686006649.02343762</v>
      </c>
      <c r="AJ484" s="558">
        <f t="shared" ref="AJ484:AJ507" si="275">SUM(D484:X484)</f>
        <v>1372013298.0468752</v>
      </c>
      <c r="AK484" s="542">
        <f t="shared" ref="AK484:AK507" si="276">SUM(D484:AH484)</f>
        <v>2058019947.0703127</v>
      </c>
    </row>
    <row r="485" spans="1:37" x14ac:dyDescent="0.2">
      <c r="A485" s="505"/>
      <c r="B485" s="478" t="s">
        <v>32</v>
      </c>
      <c r="C485" s="465" t="s">
        <v>37</v>
      </c>
      <c r="D485" s="507">
        <f t="shared" ref="D485:AH485" si="277">D8</f>
        <v>0</v>
      </c>
      <c r="E485" s="507">
        <f t="shared" si="277"/>
        <v>68270664.902343765</v>
      </c>
      <c r="F485" s="507">
        <f t="shared" si="277"/>
        <v>68270664.902343765</v>
      </c>
      <c r="G485" s="507">
        <f t="shared" si="277"/>
        <v>68270664.902343765</v>
      </c>
      <c r="H485" s="507">
        <f t="shared" si="277"/>
        <v>68270664.902343765</v>
      </c>
      <c r="I485" s="507">
        <f t="shared" si="277"/>
        <v>68270664.902343765</v>
      </c>
      <c r="J485" s="507">
        <f t="shared" si="277"/>
        <v>68270664.902343765</v>
      </c>
      <c r="K485" s="507">
        <f t="shared" si="277"/>
        <v>68270664.902343765</v>
      </c>
      <c r="L485" s="507">
        <f t="shared" si="277"/>
        <v>68270664.902343765</v>
      </c>
      <c r="M485" s="507">
        <f t="shared" si="277"/>
        <v>68270664.902343765</v>
      </c>
      <c r="N485" s="507">
        <f t="shared" si="277"/>
        <v>68270664.902343765</v>
      </c>
      <c r="O485" s="507">
        <f t="shared" si="277"/>
        <v>68270664.902343765</v>
      </c>
      <c r="P485" s="507">
        <f t="shared" si="277"/>
        <v>68270664.902343765</v>
      </c>
      <c r="Q485" s="507">
        <f t="shared" si="277"/>
        <v>68270664.902343765</v>
      </c>
      <c r="R485" s="507">
        <f t="shared" si="277"/>
        <v>68270664.902343765</v>
      </c>
      <c r="S485" s="507">
        <f t="shared" si="277"/>
        <v>68270664.902343765</v>
      </c>
      <c r="T485" s="507">
        <f t="shared" si="277"/>
        <v>68270664.902343765</v>
      </c>
      <c r="U485" s="507">
        <f t="shared" si="277"/>
        <v>68270664.902343765</v>
      </c>
      <c r="V485" s="507">
        <f t="shared" si="277"/>
        <v>68270664.902343765</v>
      </c>
      <c r="W485" s="507">
        <f t="shared" si="277"/>
        <v>68270664.902343765</v>
      </c>
      <c r="X485" s="507">
        <f t="shared" si="277"/>
        <v>68270664.902343765</v>
      </c>
      <c r="Y485" s="507">
        <f t="shared" si="277"/>
        <v>68270664.902343765</v>
      </c>
      <c r="Z485" s="507">
        <f t="shared" si="277"/>
        <v>68270664.902343765</v>
      </c>
      <c r="AA485" s="507">
        <f t="shared" si="277"/>
        <v>68270664.902343765</v>
      </c>
      <c r="AB485" s="507">
        <f t="shared" si="277"/>
        <v>68270664.902343765</v>
      </c>
      <c r="AC485" s="507">
        <f t="shared" si="277"/>
        <v>68270664.902343765</v>
      </c>
      <c r="AD485" s="507">
        <f t="shared" si="277"/>
        <v>68270664.902343765</v>
      </c>
      <c r="AE485" s="507">
        <f t="shared" si="277"/>
        <v>68270664.902343765</v>
      </c>
      <c r="AF485" s="507">
        <f t="shared" si="277"/>
        <v>68270664.902343765</v>
      </c>
      <c r="AG485" s="507">
        <f t="shared" si="277"/>
        <v>68270664.902343765</v>
      </c>
      <c r="AH485" s="507">
        <f t="shared" si="277"/>
        <v>68270664.902343765</v>
      </c>
      <c r="AI485" s="557">
        <f t="shared" si="274"/>
        <v>682706649.02343762</v>
      </c>
      <c r="AJ485" s="558">
        <f t="shared" si="275"/>
        <v>1365413298.0468752</v>
      </c>
      <c r="AK485" s="542">
        <f t="shared" si="276"/>
        <v>2048119947.0703127</v>
      </c>
    </row>
    <row r="486" spans="1:37" x14ac:dyDescent="0.2">
      <c r="A486" s="505"/>
      <c r="B486" s="452" t="s">
        <v>250</v>
      </c>
      <c r="C486" s="465" t="s">
        <v>37</v>
      </c>
      <c r="D486" s="507">
        <f t="shared" ref="D486:AH486" si="278">D12</f>
        <v>0</v>
      </c>
      <c r="E486" s="507">
        <f t="shared" si="278"/>
        <v>0</v>
      </c>
      <c r="F486" s="507">
        <f t="shared" si="278"/>
        <v>0</v>
      </c>
      <c r="G486" s="507">
        <f t="shared" si="278"/>
        <v>0</v>
      </c>
      <c r="H486" s="507">
        <f t="shared" si="278"/>
        <v>0</v>
      </c>
      <c r="I486" s="507">
        <f t="shared" si="278"/>
        <v>0</v>
      </c>
      <c r="J486" s="507">
        <f t="shared" si="278"/>
        <v>0</v>
      </c>
      <c r="K486" s="507">
        <f t="shared" si="278"/>
        <v>0</v>
      </c>
      <c r="L486" s="507">
        <f t="shared" si="278"/>
        <v>0</v>
      </c>
      <c r="M486" s="507">
        <f t="shared" si="278"/>
        <v>0</v>
      </c>
      <c r="N486" s="507">
        <f t="shared" si="278"/>
        <v>0</v>
      </c>
      <c r="O486" s="507">
        <f t="shared" si="278"/>
        <v>0</v>
      </c>
      <c r="P486" s="507">
        <f t="shared" si="278"/>
        <v>0</v>
      </c>
      <c r="Q486" s="507">
        <f t="shared" si="278"/>
        <v>0</v>
      </c>
      <c r="R486" s="507">
        <f t="shared" si="278"/>
        <v>0</v>
      </c>
      <c r="S486" s="507">
        <f t="shared" si="278"/>
        <v>0</v>
      </c>
      <c r="T486" s="507">
        <f t="shared" si="278"/>
        <v>0</v>
      </c>
      <c r="U486" s="507">
        <f t="shared" si="278"/>
        <v>0</v>
      </c>
      <c r="V486" s="507">
        <f t="shared" si="278"/>
        <v>0</v>
      </c>
      <c r="W486" s="507">
        <f t="shared" si="278"/>
        <v>0</v>
      </c>
      <c r="X486" s="507">
        <f t="shared" si="278"/>
        <v>0</v>
      </c>
      <c r="Y486" s="507">
        <f t="shared" si="278"/>
        <v>0</v>
      </c>
      <c r="Z486" s="507">
        <f t="shared" si="278"/>
        <v>0</v>
      </c>
      <c r="AA486" s="507">
        <f t="shared" si="278"/>
        <v>0</v>
      </c>
      <c r="AB486" s="507">
        <f t="shared" si="278"/>
        <v>0</v>
      </c>
      <c r="AC486" s="507">
        <f t="shared" si="278"/>
        <v>0</v>
      </c>
      <c r="AD486" s="507">
        <f t="shared" si="278"/>
        <v>0</v>
      </c>
      <c r="AE486" s="507">
        <f t="shared" si="278"/>
        <v>0</v>
      </c>
      <c r="AF486" s="507">
        <f t="shared" si="278"/>
        <v>0</v>
      </c>
      <c r="AG486" s="507">
        <f t="shared" si="278"/>
        <v>0</v>
      </c>
      <c r="AH486" s="507">
        <f t="shared" si="278"/>
        <v>0</v>
      </c>
      <c r="AI486" s="557">
        <f t="shared" si="274"/>
        <v>0</v>
      </c>
      <c r="AJ486" s="558">
        <f t="shared" si="275"/>
        <v>0</v>
      </c>
      <c r="AK486" s="542">
        <f t="shared" si="276"/>
        <v>0</v>
      </c>
    </row>
    <row r="487" spans="1:37" x14ac:dyDescent="0.2">
      <c r="A487" s="505"/>
      <c r="B487" s="452" t="s">
        <v>1075</v>
      </c>
      <c r="C487" s="465" t="s">
        <v>1076</v>
      </c>
      <c r="D487" s="507">
        <f>D16</f>
        <v>0</v>
      </c>
      <c r="E487" s="507">
        <f t="shared" ref="E487:AH487" si="279">E16</f>
        <v>330000</v>
      </c>
      <c r="F487" s="507">
        <f t="shared" si="279"/>
        <v>330000</v>
      </c>
      <c r="G487" s="507">
        <f t="shared" si="279"/>
        <v>330000</v>
      </c>
      <c r="H487" s="507">
        <f t="shared" si="279"/>
        <v>330000</v>
      </c>
      <c r="I487" s="507">
        <f t="shared" si="279"/>
        <v>330000</v>
      </c>
      <c r="J487" s="507">
        <f t="shared" si="279"/>
        <v>330000</v>
      </c>
      <c r="K487" s="507">
        <f t="shared" si="279"/>
        <v>330000</v>
      </c>
      <c r="L487" s="507">
        <f t="shared" si="279"/>
        <v>330000</v>
      </c>
      <c r="M487" s="507">
        <f t="shared" si="279"/>
        <v>330000</v>
      </c>
      <c r="N487" s="507">
        <f t="shared" si="279"/>
        <v>330000</v>
      </c>
      <c r="O487" s="507">
        <f t="shared" si="279"/>
        <v>330000</v>
      </c>
      <c r="P487" s="507">
        <f t="shared" si="279"/>
        <v>330000</v>
      </c>
      <c r="Q487" s="507">
        <f t="shared" si="279"/>
        <v>330000</v>
      </c>
      <c r="R487" s="507">
        <f t="shared" si="279"/>
        <v>330000</v>
      </c>
      <c r="S487" s="507">
        <f t="shared" si="279"/>
        <v>330000</v>
      </c>
      <c r="T487" s="507">
        <f t="shared" si="279"/>
        <v>330000</v>
      </c>
      <c r="U487" s="507">
        <f t="shared" si="279"/>
        <v>330000</v>
      </c>
      <c r="V487" s="507">
        <f t="shared" si="279"/>
        <v>330000</v>
      </c>
      <c r="W487" s="507">
        <f t="shared" si="279"/>
        <v>330000</v>
      </c>
      <c r="X487" s="507">
        <f t="shared" si="279"/>
        <v>330000</v>
      </c>
      <c r="Y487" s="507">
        <f t="shared" si="279"/>
        <v>330000</v>
      </c>
      <c r="Z487" s="507">
        <f t="shared" si="279"/>
        <v>330000</v>
      </c>
      <c r="AA487" s="507">
        <f t="shared" si="279"/>
        <v>330000</v>
      </c>
      <c r="AB487" s="507">
        <f t="shared" si="279"/>
        <v>330000</v>
      </c>
      <c r="AC487" s="507">
        <f t="shared" si="279"/>
        <v>330000</v>
      </c>
      <c r="AD487" s="507">
        <f t="shared" si="279"/>
        <v>330000</v>
      </c>
      <c r="AE487" s="507">
        <f t="shared" si="279"/>
        <v>330000</v>
      </c>
      <c r="AF487" s="507">
        <f t="shared" si="279"/>
        <v>330000</v>
      </c>
      <c r="AG487" s="507">
        <f t="shared" si="279"/>
        <v>330000</v>
      </c>
      <c r="AH487" s="507">
        <f t="shared" si="279"/>
        <v>330000</v>
      </c>
      <c r="AI487" s="557">
        <f t="shared" ref="AI487" si="280">SUM(D487:N487)</f>
        <v>3300000</v>
      </c>
      <c r="AJ487" s="558">
        <f t="shared" ref="AJ487" si="281">SUM(D487:X487)</f>
        <v>6600000</v>
      </c>
      <c r="AK487" s="542">
        <f t="shared" ref="AK487" si="282">SUM(D487:AH487)</f>
        <v>9900000</v>
      </c>
    </row>
    <row r="488" spans="1:37" x14ac:dyDescent="0.2">
      <c r="A488" s="505" t="s">
        <v>289</v>
      </c>
      <c r="B488" s="452"/>
      <c r="C488" s="465" t="s">
        <v>37</v>
      </c>
      <c r="D488" s="507">
        <f>-SUM(D489:D500)</f>
        <v>-1563689778.0339069</v>
      </c>
      <c r="E488" s="507">
        <f>-SUM(E489:E491,E496:E500)</f>
        <v>36980836.484992385</v>
      </c>
      <c r="F488" s="507">
        <f t="shared" ref="F488:AK488" si="283">-SUM(F489:F491,F496:F500)</f>
        <v>38123559.556762069</v>
      </c>
      <c r="G488" s="507">
        <f t="shared" si="283"/>
        <v>39266282.628531754</v>
      </c>
      <c r="H488" s="507">
        <f t="shared" si="283"/>
        <v>40409005.700301439</v>
      </c>
      <c r="I488" s="507">
        <f t="shared" si="283"/>
        <v>41551728.772071123</v>
      </c>
      <c r="J488" s="507">
        <f t="shared" si="283"/>
        <v>42694451.843840808</v>
      </c>
      <c r="K488" s="507">
        <f t="shared" si="283"/>
        <v>43837174.915610492</v>
      </c>
      <c r="L488" s="507">
        <f t="shared" si="283"/>
        <v>44979897.987380177</v>
      </c>
      <c r="M488" s="507">
        <f t="shared" si="283"/>
        <v>46122621.059149854</v>
      </c>
      <c r="N488" s="507">
        <f t="shared" si="283"/>
        <v>47265344.130919538</v>
      </c>
      <c r="O488" s="507">
        <f t="shared" si="283"/>
        <v>48408067.202689223</v>
      </c>
      <c r="P488" s="507">
        <f t="shared" si="283"/>
        <v>49550790.274458908</v>
      </c>
      <c r="Q488" s="507">
        <f t="shared" si="283"/>
        <v>50693513.3462286</v>
      </c>
      <c r="R488" s="507">
        <f t="shared" si="283"/>
        <v>51836236.417998284</v>
      </c>
      <c r="S488" s="507">
        <f t="shared" si="283"/>
        <v>52978959.489767969</v>
      </c>
      <c r="T488" s="507">
        <f t="shared" si="283"/>
        <v>39128425.864343725</v>
      </c>
      <c r="U488" s="507">
        <f t="shared" si="283"/>
        <v>39176566.091489673</v>
      </c>
      <c r="V488" s="507">
        <f t="shared" si="283"/>
        <v>39224706.318635628</v>
      </c>
      <c r="W488" s="507">
        <f t="shared" si="283"/>
        <v>39272846.545781583</v>
      </c>
      <c r="X488" s="507">
        <f t="shared" si="283"/>
        <v>39320986.77292753</v>
      </c>
      <c r="Y488" s="507">
        <f t="shared" si="283"/>
        <v>39369127.00007347</v>
      </c>
      <c r="Z488" s="507">
        <f t="shared" si="283"/>
        <v>39513151.058576599</v>
      </c>
      <c r="AA488" s="507">
        <f t="shared" si="283"/>
        <v>39657175.11707972</v>
      </c>
      <c r="AB488" s="507">
        <f t="shared" si="283"/>
        <v>39801199.175582841</v>
      </c>
      <c r="AC488" s="507">
        <f t="shared" si="283"/>
        <v>39945223.234085962</v>
      </c>
      <c r="AD488" s="507">
        <f t="shared" si="283"/>
        <v>40089247.292589083</v>
      </c>
      <c r="AE488" s="507">
        <f t="shared" si="283"/>
        <v>40233271.351092212</v>
      </c>
      <c r="AF488" s="507">
        <f t="shared" si="283"/>
        <v>40377295.409595333</v>
      </c>
      <c r="AG488" s="507">
        <f t="shared" si="283"/>
        <v>40521319.468098454</v>
      </c>
      <c r="AH488" s="507">
        <f t="shared" si="283"/>
        <v>40665343.526601583</v>
      </c>
      <c r="AI488" s="557">
        <f t="shared" si="283"/>
        <v>-1142458874.9543474</v>
      </c>
      <c r="AJ488" s="558">
        <f t="shared" si="283"/>
        <v>-692867776.63002682</v>
      </c>
      <c r="AK488" s="542">
        <f t="shared" si="283"/>
        <v>-292695423.99665189</v>
      </c>
    </row>
    <row r="489" spans="1:37" x14ac:dyDescent="0.2">
      <c r="A489" s="505"/>
      <c r="B489" s="452" t="s">
        <v>290</v>
      </c>
      <c r="C489" s="465" t="s">
        <v>37</v>
      </c>
      <c r="D489" s="507">
        <f t="shared" ref="D489:AH489" si="284">SUM(D28:D29)</f>
        <v>1563689778.0339069</v>
      </c>
      <c r="E489" s="507">
        <f t="shared" si="284"/>
        <v>0</v>
      </c>
      <c r="F489" s="507">
        <f t="shared" si="284"/>
        <v>0</v>
      </c>
      <c r="G489" s="507">
        <f t="shared" si="284"/>
        <v>0</v>
      </c>
      <c r="H489" s="507">
        <f t="shared" si="284"/>
        <v>0</v>
      </c>
      <c r="I489" s="507">
        <f t="shared" si="284"/>
        <v>0</v>
      </c>
      <c r="J489" s="507">
        <f t="shared" si="284"/>
        <v>0</v>
      </c>
      <c r="K489" s="507">
        <f t="shared" si="284"/>
        <v>0</v>
      </c>
      <c r="L489" s="507">
        <f t="shared" si="284"/>
        <v>0</v>
      </c>
      <c r="M489" s="507">
        <f t="shared" si="284"/>
        <v>0</v>
      </c>
      <c r="N489" s="507">
        <f t="shared" si="284"/>
        <v>0</v>
      </c>
      <c r="O489" s="507">
        <f t="shared" si="284"/>
        <v>0</v>
      </c>
      <c r="P489" s="507">
        <f t="shared" si="284"/>
        <v>0</v>
      </c>
      <c r="Q489" s="507">
        <f t="shared" si="284"/>
        <v>0</v>
      </c>
      <c r="R489" s="507">
        <f t="shared" si="284"/>
        <v>0</v>
      </c>
      <c r="S489" s="507">
        <f t="shared" si="284"/>
        <v>0</v>
      </c>
      <c r="T489" s="507">
        <f t="shared" si="284"/>
        <v>0</v>
      </c>
      <c r="U489" s="507">
        <f t="shared" si="284"/>
        <v>0</v>
      </c>
      <c r="V489" s="507">
        <f t="shared" si="284"/>
        <v>0</v>
      </c>
      <c r="W489" s="507">
        <f t="shared" si="284"/>
        <v>0</v>
      </c>
      <c r="X489" s="507">
        <f t="shared" si="284"/>
        <v>0</v>
      </c>
      <c r="Y489" s="507">
        <f t="shared" si="284"/>
        <v>0</v>
      </c>
      <c r="Z489" s="507">
        <f t="shared" si="284"/>
        <v>0</v>
      </c>
      <c r="AA489" s="507">
        <f t="shared" si="284"/>
        <v>0</v>
      </c>
      <c r="AB489" s="507">
        <f t="shared" si="284"/>
        <v>0</v>
      </c>
      <c r="AC489" s="507">
        <f t="shared" si="284"/>
        <v>0</v>
      </c>
      <c r="AD489" s="507">
        <f t="shared" si="284"/>
        <v>0</v>
      </c>
      <c r="AE489" s="507">
        <f t="shared" si="284"/>
        <v>0</v>
      </c>
      <c r="AF489" s="507">
        <f t="shared" si="284"/>
        <v>0</v>
      </c>
      <c r="AG489" s="507">
        <f t="shared" si="284"/>
        <v>0</v>
      </c>
      <c r="AH489" s="507">
        <f t="shared" si="284"/>
        <v>0</v>
      </c>
      <c r="AI489" s="557">
        <f t="shared" si="274"/>
        <v>1563689778.0339069</v>
      </c>
      <c r="AJ489" s="558">
        <f t="shared" si="275"/>
        <v>1563689778.0339069</v>
      </c>
      <c r="AK489" s="542">
        <f t="shared" si="276"/>
        <v>1563689778.0339069</v>
      </c>
    </row>
    <row r="490" spans="1:37" x14ac:dyDescent="0.2">
      <c r="A490" s="505"/>
      <c r="B490" s="452" t="s">
        <v>291</v>
      </c>
      <c r="C490" s="465" t="s">
        <v>37</v>
      </c>
      <c r="D490" s="507">
        <f t="shared" ref="D490:AH490" si="285">SUM(D31:D33,D36:D37)</f>
        <v>0</v>
      </c>
      <c r="E490" s="507">
        <f t="shared" si="285"/>
        <v>-107730363.11930522</v>
      </c>
      <c r="F490" s="507">
        <f t="shared" si="285"/>
        <v>-107730363.11930522</v>
      </c>
      <c r="G490" s="507">
        <f t="shared" si="285"/>
        <v>-107730363.11930522</v>
      </c>
      <c r="H490" s="507">
        <f t="shared" si="285"/>
        <v>-107730363.11930522</v>
      </c>
      <c r="I490" s="507">
        <f t="shared" si="285"/>
        <v>-107730363.11930522</v>
      </c>
      <c r="J490" s="507">
        <f t="shared" si="285"/>
        <v>-107730363.11930522</v>
      </c>
      <c r="K490" s="507">
        <f t="shared" si="285"/>
        <v>-107730363.11930522</v>
      </c>
      <c r="L490" s="507">
        <f t="shared" si="285"/>
        <v>-107730363.11930522</v>
      </c>
      <c r="M490" s="507">
        <f t="shared" si="285"/>
        <v>-107730363.11930522</v>
      </c>
      <c r="N490" s="507">
        <f t="shared" si="285"/>
        <v>-107730363.11930522</v>
      </c>
      <c r="O490" s="507">
        <f t="shared" si="285"/>
        <v>-107730363.11930522</v>
      </c>
      <c r="P490" s="507">
        <f t="shared" si="285"/>
        <v>-107730363.11930522</v>
      </c>
      <c r="Q490" s="507">
        <f t="shared" si="285"/>
        <v>-107730363.11930522</v>
      </c>
      <c r="R490" s="507">
        <f t="shared" si="285"/>
        <v>-107730363.11930522</v>
      </c>
      <c r="S490" s="507">
        <f t="shared" si="285"/>
        <v>-107730363.11930522</v>
      </c>
      <c r="T490" s="507">
        <f t="shared" si="285"/>
        <v>-107730363.11930522</v>
      </c>
      <c r="U490" s="507">
        <f t="shared" si="285"/>
        <v>-107730363.11930522</v>
      </c>
      <c r="V490" s="507">
        <f t="shared" si="285"/>
        <v>-107730363.11930522</v>
      </c>
      <c r="W490" s="507">
        <f t="shared" si="285"/>
        <v>-107730363.11930522</v>
      </c>
      <c r="X490" s="507">
        <f t="shared" si="285"/>
        <v>-107730363.11930522</v>
      </c>
      <c r="Y490" s="507">
        <f t="shared" si="285"/>
        <v>-107730363.11930522</v>
      </c>
      <c r="Z490" s="507">
        <f t="shared" si="285"/>
        <v>-107730363.11930522</v>
      </c>
      <c r="AA490" s="507">
        <f t="shared" si="285"/>
        <v>-107730363.11930522</v>
      </c>
      <c r="AB490" s="507">
        <f t="shared" si="285"/>
        <v>-107730363.11930522</v>
      </c>
      <c r="AC490" s="507">
        <f t="shared" si="285"/>
        <v>-107730363.11930522</v>
      </c>
      <c r="AD490" s="507">
        <f t="shared" si="285"/>
        <v>-107730363.11930522</v>
      </c>
      <c r="AE490" s="507">
        <f t="shared" si="285"/>
        <v>-107730363.11930522</v>
      </c>
      <c r="AF490" s="507">
        <f t="shared" si="285"/>
        <v>-107730363.11930522</v>
      </c>
      <c r="AG490" s="507">
        <f t="shared" si="285"/>
        <v>-107730363.11930522</v>
      </c>
      <c r="AH490" s="507">
        <f t="shared" si="285"/>
        <v>-107730363.11930522</v>
      </c>
      <c r="AI490" s="557">
        <f t="shared" si="274"/>
        <v>-1077303631.1930523</v>
      </c>
      <c r="AJ490" s="558">
        <f t="shared" si="275"/>
        <v>-2154607262.3861036</v>
      </c>
      <c r="AK490" s="542">
        <f t="shared" si="276"/>
        <v>-3231910893.579155</v>
      </c>
    </row>
    <row r="491" spans="1:37" x14ac:dyDescent="0.2">
      <c r="A491" s="505"/>
      <c r="B491" s="452" t="s">
        <v>202</v>
      </c>
      <c r="C491" s="465" t="s">
        <v>37</v>
      </c>
      <c r="D491" s="507">
        <f t="shared" ref="D491:AH491" si="286">D35</f>
        <v>0</v>
      </c>
      <c r="E491" s="507">
        <f t="shared" si="286"/>
        <v>41089878.960231602</v>
      </c>
      <c r="F491" s="507">
        <f t="shared" si="286"/>
        <v>41089878.960231602</v>
      </c>
      <c r="G491" s="507">
        <f t="shared" si="286"/>
        <v>41089878.960231602</v>
      </c>
      <c r="H491" s="507">
        <f t="shared" si="286"/>
        <v>41089878.960231602</v>
      </c>
      <c r="I491" s="507">
        <f t="shared" si="286"/>
        <v>41089878.960231602</v>
      </c>
      <c r="J491" s="507">
        <f t="shared" si="286"/>
        <v>41089878.960231602</v>
      </c>
      <c r="K491" s="507">
        <f t="shared" si="286"/>
        <v>41089878.960231602</v>
      </c>
      <c r="L491" s="507">
        <f t="shared" si="286"/>
        <v>41089878.960231602</v>
      </c>
      <c r="M491" s="507">
        <f t="shared" si="286"/>
        <v>41089878.960231602</v>
      </c>
      <c r="N491" s="507">
        <f t="shared" si="286"/>
        <v>41089878.960231602</v>
      </c>
      <c r="O491" s="507">
        <f t="shared" si="286"/>
        <v>41089878.960231602</v>
      </c>
      <c r="P491" s="507">
        <f t="shared" si="286"/>
        <v>41089878.960231602</v>
      </c>
      <c r="Q491" s="507">
        <f t="shared" si="286"/>
        <v>41089878.960231602</v>
      </c>
      <c r="R491" s="507">
        <f t="shared" si="286"/>
        <v>41089878.960231602</v>
      </c>
      <c r="S491" s="507">
        <f t="shared" si="286"/>
        <v>41089878.960231602</v>
      </c>
      <c r="T491" s="507">
        <f t="shared" si="286"/>
        <v>41089878.960231602</v>
      </c>
      <c r="U491" s="507">
        <f t="shared" si="286"/>
        <v>41089878.960231602</v>
      </c>
      <c r="V491" s="507">
        <f t="shared" si="286"/>
        <v>41089878.960231602</v>
      </c>
      <c r="W491" s="507">
        <f t="shared" si="286"/>
        <v>41089878.960231602</v>
      </c>
      <c r="X491" s="507">
        <f t="shared" si="286"/>
        <v>41089878.960231602</v>
      </c>
      <c r="Y491" s="507">
        <f t="shared" si="286"/>
        <v>41089878.960231602</v>
      </c>
      <c r="Z491" s="507">
        <f t="shared" si="286"/>
        <v>41089878.960231602</v>
      </c>
      <c r="AA491" s="507">
        <f t="shared" si="286"/>
        <v>41089878.960231602</v>
      </c>
      <c r="AB491" s="507">
        <f t="shared" si="286"/>
        <v>41089878.960231602</v>
      </c>
      <c r="AC491" s="507">
        <f t="shared" si="286"/>
        <v>41089878.960231602</v>
      </c>
      <c r="AD491" s="507">
        <f t="shared" si="286"/>
        <v>41089878.960231602</v>
      </c>
      <c r="AE491" s="507">
        <f t="shared" si="286"/>
        <v>41089878.960231602</v>
      </c>
      <c r="AF491" s="507">
        <f t="shared" si="286"/>
        <v>41089878.960231602</v>
      </c>
      <c r="AG491" s="507">
        <f t="shared" si="286"/>
        <v>41089878.960231602</v>
      </c>
      <c r="AH491" s="507">
        <f t="shared" si="286"/>
        <v>41089878.960231602</v>
      </c>
      <c r="AI491" s="557">
        <f t="shared" si="274"/>
        <v>410898789.60231602</v>
      </c>
      <c r="AJ491" s="558">
        <f t="shared" si="275"/>
        <v>821797579.20463181</v>
      </c>
      <c r="AK491" s="542">
        <f t="shared" si="276"/>
        <v>1232696368.8069472</v>
      </c>
    </row>
    <row r="492" spans="1:37" x14ac:dyDescent="0.2">
      <c r="A492" s="505"/>
      <c r="B492" s="452" t="s">
        <v>361</v>
      </c>
      <c r="C492" s="465" t="s">
        <v>37</v>
      </c>
      <c r="D492" s="507">
        <f t="shared" ref="D492:AH492" si="287">D276+D281</f>
        <v>0</v>
      </c>
      <c r="E492" s="507">
        <f t="shared" si="287"/>
        <v>7396178.2128416887</v>
      </c>
      <c r="F492" s="507">
        <f t="shared" si="287"/>
        <v>7396178.2128416887</v>
      </c>
      <c r="G492" s="507">
        <f t="shared" si="287"/>
        <v>7396178.2128416887</v>
      </c>
      <c r="H492" s="507">
        <f t="shared" si="287"/>
        <v>7396178.2128416887</v>
      </c>
      <c r="I492" s="507">
        <f t="shared" si="287"/>
        <v>7396178.2128416887</v>
      </c>
      <c r="J492" s="507">
        <f t="shared" si="287"/>
        <v>7396178.2128416887</v>
      </c>
      <c r="K492" s="507">
        <f t="shared" si="287"/>
        <v>7396178.2128416887</v>
      </c>
      <c r="L492" s="507">
        <f t="shared" si="287"/>
        <v>7396178.2128416887</v>
      </c>
      <c r="M492" s="507">
        <f t="shared" si="287"/>
        <v>7396178.2128416887</v>
      </c>
      <c r="N492" s="507">
        <f t="shared" si="287"/>
        <v>7396178.2128416887</v>
      </c>
      <c r="O492" s="507">
        <f t="shared" si="287"/>
        <v>7396178.2128416887</v>
      </c>
      <c r="P492" s="507">
        <f t="shared" si="287"/>
        <v>7396178.2128416887</v>
      </c>
      <c r="Q492" s="507">
        <f t="shared" si="287"/>
        <v>7396178.2128416887</v>
      </c>
      <c r="R492" s="507">
        <f t="shared" si="287"/>
        <v>7396178.2128416887</v>
      </c>
      <c r="S492" s="507">
        <f t="shared" si="287"/>
        <v>7396178.2128416887</v>
      </c>
      <c r="T492" s="507">
        <f t="shared" si="287"/>
        <v>7396178.2128416887</v>
      </c>
      <c r="U492" s="507">
        <f t="shared" si="287"/>
        <v>7396178.2128416887</v>
      </c>
      <c r="V492" s="507">
        <f t="shared" si="287"/>
        <v>7396178.2128416887</v>
      </c>
      <c r="W492" s="507">
        <f t="shared" si="287"/>
        <v>7396178.2128416887</v>
      </c>
      <c r="X492" s="507">
        <f t="shared" si="287"/>
        <v>7396178.2128416887</v>
      </c>
      <c r="Y492" s="507">
        <f t="shared" si="287"/>
        <v>7396178.2128416887</v>
      </c>
      <c r="Z492" s="507">
        <f t="shared" si="287"/>
        <v>7396178.2128416887</v>
      </c>
      <c r="AA492" s="507">
        <f t="shared" si="287"/>
        <v>7396178.2128416887</v>
      </c>
      <c r="AB492" s="507">
        <f t="shared" si="287"/>
        <v>7396178.2128416887</v>
      </c>
      <c r="AC492" s="507">
        <f t="shared" si="287"/>
        <v>7396178.2128416887</v>
      </c>
      <c r="AD492" s="507">
        <f t="shared" si="287"/>
        <v>7396178.2128416887</v>
      </c>
      <c r="AE492" s="507">
        <f t="shared" si="287"/>
        <v>7396178.2128416887</v>
      </c>
      <c r="AF492" s="507">
        <f t="shared" si="287"/>
        <v>7396178.2128416887</v>
      </c>
      <c r="AG492" s="507">
        <f t="shared" si="287"/>
        <v>7396178.2128416887</v>
      </c>
      <c r="AH492" s="507">
        <f t="shared" si="287"/>
        <v>7396178.2128416887</v>
      </c>
      <c r="AI492" s="557">
        <f>SUM(D492:N492)</f>
        <v>73961782.128416881</v>
      </c>
      <c r="AJ492" s="558">
        <f>SUM(D492:X492)</f>
        <v>147923564.25683376</v>
      </c>
      <c r="AK492" s="542">
        <f>SUM(D492:AH492)</f>
        <v>221885346.38525066</v>
      </c>
    </row>
    <row r="493" spans="1:37" x14ac:dyDescent="0.2">
      <c r="A493" s="505"/>
      <c r="B493" s="452" t="s">
        <v>292</v>
      </c>
      <c r="C493" s="465" t="s">
        <v>37</v>
      </c>
      <c r="D493" s="507">
        <f t="shared" ref="D493:AH493" si="288">D277+D282</f>
        <v>0</v>
      </c>
      <c r="E493" s="507">
        <f t="shared" si="288"/>
        <v>1830566.0313606129</v>
      </c>
      <c r="F493" s="507">
        <f t="shared" si="288"/>
        <v>1830566.0313606129</v>
      </c>
      <c r="G493" s="507">
        <f t="shared" si="288"/>
        <v>1830566.0313606129</v>
      </c>
      <c r="H493" s="507">
        <f t="shared" si="288"/>
        <v>1830566.0313606129</v>
      </c>
      <c r="I493" s="507">
        <f t="shared" si="288"/>
        <v>1830566.0313606129</v>
      </c>
      <c r="J493" s="507">
        <f t="shared" si="288"/>
        <v>1830566.0313606129</v>
      </c>
      <c r="K493" s="507">
        <f t="shared" si="288"/>
        <v>1830566.0313606129</v>
      </c>
      <c r="L493" s="507">
        <f t="shared" si="288"/>
        <v>1830566.0313606129</v>
      </c>
      <c r="M493" s="507">
        <f t="shared" si="288"/>
        <v>1830566.0313606129</v>
      </c>
      <c r="N493" s="507">
        <f t="shared" si="288"/>
        <v>1830566.0313606129</v>
      </c>
      <c r="O493" s="507">
        <f t="shared" si="288"/>
        <v>1830566.0313606129</v>
      </c>
      <c r="P493" s="507">
        <f t="shared" si="288"/>
        <v>1830566.0313606129</v>
      </c>
      <c r="Q493" s="507">
        <f t="shared" si="288"/>
        <v>1830566.0313606129</v>
      </c>
      <c r="R493" s="507">
        <f t="shared" si="288"/>
        <v>1830566.0313606129</v>
      </c>
      <c r="S493" s="507">
        <f t="shared" si="288"/>
        <v>1830566.0313606129</v>
      </c>
      <c r="T493" s="507">
        <f t="shared" si="288"/>
        <v>1830566.0313606129</v>
      </c>
      <c r="U493" s="507">
        <f t="shared" si="288"/>
        <v>1830566.0313606129</v>
      </c>
      <c r="V493" s="507">
        <f t="shared" si="288"/>
        <v>1830566.0313606129</v>
      </c>
      <c r="W493" s="507">
        <f t="shared" si="288"/>
        <v>1830566.0313606129</v>
      </c>
      <c r="X493" s="507">
        <f t="shared" si="288"/>
        <v>1830566.0313606129</v>
      </c>
      <c r="Y493" s="507">
        <f t="shared" si="288"/>
        <v>1830566.0313606129</v>
      </c>
      <c r="Z493" s="507">
        <f t="shared" si="288"/>
        <v>1830566.0313606129</v>
      </c>
      <c r="AA493" s="507">
        <f t="shared" si="288"/>
        <v>1830566.0313606129</v>
      </c>
      <c r="AB493" s="507">
        <f t="shared" si="288"/>
        <v>1830566.0313606129</v>
      </c>
      <c r="AC493" s="507">
        <f t="shared" si="288"/>
        <v>1830566.0313606129</v>
      </c>
      <c r="AD493" s="507">
        <f t="shared" si="288"/>
        <v>1830566.0313606129</v>
      </c>
      <c r="AE493" s="507">
        <f t="shared" si="288"/>
        <v>1830566.0313606129</v>
      </c>
      <c r="AF493" s="507">
        <f t="shared" si="288"/>
        <v>1830566.0313606129</v>
      </c>
      <c r="AG493" s="507">
        <f t="shared" si="288"/>
        <v>1830566.0313606129</v>
      </c>
      <c r="AH493" s="507">
        <f t="shared" si="288"/>
        <v>1830566.0313606129</v>
      </c>
      <c r="AI493" s="557">
        <f t="shared" si="274"/>
        <v>18305660.313606128</v>
      </c>
      <c r="AJ493" s="558">
        <f t="shared" si="275"/>
        <v>36611320.627212241</v>
      </c>
      <c r="AK493" s="542">
        <f t="shared" si="276"/>
        <v>54916980.940818354</v>
      </c>
    </row>
    <row r="494" spans="1:37" x14ac:dyDescent="0.2">
      <c r="A494" s="505"/>
      <c r="B494" s="452" t="s">
        <v>293</v>
      </c>
      <c r="C494" s="465" t="s">
        <v>37</v>
      </c>
      <c r="D494" s="507">
        <f t="shared" ref="D494:AH494" si="289">D278+D283</f>
        <v>0</v>
      </c>
      <c r="E494" s="507">
        <f t="shared" si="289"/>
        <v>2505262.9894725773</v>
      </c>
      <c r="F494" s="507">
        <f t="shared" si="289"/>
        <v>2505262.9894725773</v>
      </c>
      <c r="G494" s="507">
        <f t="shared" si="289"/>
        <v>2505262.9894725773</v>
      </c>
      <c r="H494" s="507">
        <f t="shared" si="289"/>
        <v>2505262.9894725773</v>
      </c>
      <c r="I494" s="507">
        <f t="shared" si="289"/>
        <v>2505262.9894725773</v>
      </c>
      <c r="J494" s="507">
        <f t="shared" si="289"/>
        <v>2505262.9894725773</v>
      </c>
      <c r="K494" s="507">
        <f t="shared" si="289"/>
        <v>2505262.9894725773</v>
      </c>
      <c r="L494" s="507">
        <f t="shared" si="289"/>
        <v>2505262.9894725773</v>
      </c>
      <c r="M494" s="507">
        <f t="shared" si="289"/>
        <v>2505262.9894725773</v>
      </c>
      <c r="N494" s="507">
        <f t="shared" si="289"/>
        <v>2505262.9894725773</v>
      </c>
      <c r="O494" s="507">
        <f t="shared" si="289"/>
        <v>2505262.9894725773</v>
      </c>
      <c r="P494" s="507">
        <f t="shared" si="289"/>
        <v>2505262.9894725773</v>
      </c>
      <c r="Q494" s="507">
        <f t="shared" si="289"/>
        <v>2505262.9894725773</v>
      </c>
      <c r="R494" s="507">
        <f t="shared" si="289"/>
        <v>2505262.9894725773</v>
      </c>
      <c r="S494" s="507">
        <f t="shared" si="289"/>
        <v>2505262.9894725773</v>
      </c>
      <c r="T494" s="507">
        <f t="shared" si="289"/>
        <v>2505262.9894725773</v>
      </c>
      <c r="U494" s="507">
        <f t="shared" si="289"/>
        <v>2505262.9894725773</v>
      </c>
      <c r="V494" s="507">
        <f t="shared" si="289"/>
        <v>2505262.9894725773</v>
      </c>
      <c r="W494" s="507">
        <f t="shared" si="289"/>
        <v>2505262.9894725773</v>
      </c>
      <c r="X494" s="507">
        <f t="shared" si="289"/>
        <v>2505262.9894725773</v>
      </c>
      <c r="Y494" s="507">
        <f t="shared" si="289"/>
        <v>2505262.9894725773</v>
      </c>
      <c r="Z494" s="507">
        <f t="shared" si="289"/>
        <v>2505262.9894725773</v>
      </c>
      <c r="AA494" s="507">
        <f t="shared" si="289"/>
        <v>2505262.9894725773</v>
      </c>
      <c r="AB494" s="507">
        <f t="shared" si="289"/>
        <v>2505262.9894725773</v>
      </c>
      <c r="AC494" s="507">
        <f t="shared" si="289"/>
        <v>2505262.9894725773</v>
      </c>
      <c r="AD494" s="507">
        <f t="shared" si="289"/>
        <v>2505262.9894725773</v>
      </c>
      <c r="AE494" s="507">
        <f t="shared" si="289"/>
        <v>2505262.9894725773</v>
      </c>
      <c r="AF494" s="507">
        <f t="shared" si="289"/>
        <v>2505262.9894725773</v>
      </c>
      <c r="AG494" s="507">
        <f t="shared" si="289"/>
        <v>2505262.9894725773</v>
      </c>
      <c r="AH494" s="507">
        <f t="shared" si="289"/>
        <v>2505262.9894725773</v>
      </c>
      <c r="AI494" s="557">
        <f t="shared" si="274"/>
        <v>25052629.89472577</v>
      </c>
      <c r="AJ494" s="558">
        <f t="shared" si="275"/>
        <v>50105259.789451525</v>
      </c>
      <c r="AK494" s="542">
        <f t="shared" si="276"/>
        <v>75157889.684177309</v>
      </c>
    </row>
    <row r="495" spans="1:37" x14ac:dyDescent="0.2">
      <c r="A495" s="505"/>
      <c r="B495" s="452" t="s">
        <v>294</v>
      </c>
      <c r="C495" s="465" t="s">
        <v>37</v>
      </c>
      <c r="D495" s="507">
        <f t="shared" ref="D495:AH495" si="290">D284</f>
        <v>0</v>
      </c>
      <c r="E495" s="507">
        <f t="shared" si="290"/>
        <v>4108987.8960231603</v>
      </c>
      <c r="F495" s="507">
        <f t="shared" si="290"/>
        <v>4108987.8960231603</v>
      </c>
      <c r="G495" s="507">
        <f t="shared" si="290"/>
        <v>4108987.8960231603</v>
      </c>
      <c r="H495" s="507">
        <f t="shared" si="290"/>
        <v>4108987.8960231603</v>
      </c>
      <c r="I495" s="507">
        <f t="shared" si="290"/>
        <v>4108987.8960231603</v>
      </c>
      <c r="J495" s="507">
        <f t="shared" si="290"/>
        <v>4108987.8960231603</v>
      </c>
      <c r="K495" s="507">
        <f t="shared" si="290"/>
        <v>4108987.8960231603</v>
      </c>
      <c r="L495" s="507">
        <f t="shared" si="290"/>
        <v>4108987.8960231603</v>
      </c>
      <c r="M495" s="507">
        <f t="shared" si="290"/>
        <v>4108987.8960231603</v>
      </c>
      <c r="N495" s="507">
        <f t="shared" si="290"/>
        <v>4108987.8960231603</v>
      </c>
      <c r="O495" s="507">
        <f t="shared" si="290"/>
        <v>4108987.8960231603</v>
      </c>
      <c r="P495" s="507">
        <f t="shared" si="290"/>
        <v>4108987.8960231603</v>
      </c>
      <c r="Q495" s="507">
        <f t="shared" si="290"/>
        <v>4108987.8960231603</v>
      </c>
      <c r="R495" s="507">
        <f t="shared" si="290"/>
        <v>4108987.8960231603</v>
      </c>
      <c r="S495" s="507">
        <f t="shared" si="290"/>
        <v>4108987.8960231603</v>
      </c>
      <c r="T495" s="507">
        <f t="shared" si="290"/>
        <v>4108987.8960231603</v>
      </c>
      <c r="U495" s="507">
        <f t="shared" si="290"/>
        <v>4108987.8960231603</v>
      </c>
      <c r="V495" s="507">
        <f t="shared" si="290"/>
        <v>4108987.8960231603</v>
      </c>
      <c r="W495" s="507">
        <f t="shared" si="290"/>
        <v>4108987.8960231603</v>
      </c>
      <c r="X495" s="507">
        <f t="shared" si="290"/>
        <v>4108987.8960231603</v>
      </c>
      <c r="Y495" s="507">
        <f t="shared" si="290"/>
        <v>4108987.8960231603</v>
      </c>
      <c r="Z495" s="507">
        <f t="shared" si="290"/>
        <v>4108987.8960231603</v>
      </c>
      <c r="AA495" s="507">
        <f t="shared" si="290"/>
        <v>4108987.8960231603</v>
      </c>
      <c r="AB495" s="507">
        <f t="shared" si="290"/>
        <v>4108987.8960231603</v>
      </c>
      <c r="AC495" s="507">
        <f t="shared" si="290"/>
        <v>4108987.8960231603</v>
      </c>
      <c r="AD495" s="507">
        <f t="shared" si="290"/>
        <v>4108987.8960231603</v>
      </c>
      <c r="AE495" s="507">
        <f t="shared" si="290"/>
        <v>4108987.8960231603</v>
      </c>
      <c r="AF495" s="507">
        <f t="shared" si="290"/>
        <v>4108987.8960231603</v>
      </c>
      <c r="AG495" s="507">
        <f t="shared" si="290"/>
        <v>4108987.8960231603</v>
      </c>
      <c r="AH495" s="507">
        <f t="shared" si="290"/>
        <v>4108987.8960231603</v>
      </c>
      <c r="AI495" s="557">
        <f t="shared" si="274"/>
        <v>41089878.96023161</v>
      </c>
      <c r="AJ495" s="558">
        <f t="shared" si="275"/>
        <v>82179757.920463204</v>
      </c>
      <c r="AK495" s="542">
        <f t="shared" si="276"/>
        <v>123269636.88069475</v>
      </c>
    </row>
    <row r="496" spans="1:37" s="1271" customFormat="1" x14ac:dyDescent="0.2">
      <c r="A496" s="1270"/>
      <c r="B496" s="1283" t="s">
        <v>355</v>
      </c>
      <c r="C496" s="1268" t="s">
        <v>37</v>
      </c>
      <c r="D496" s="1269">
        <f t="shared" ref="D496:AK496" si="291">D18</f>
        <v>0</v>
      </c>
      <c r="E496" s="1269">
        <f t="shared" si="291"/>
        <v>5515384.1114248484</v>
      </c>
      <c r="F496" s="1269">
        <f t="shared" si="291"/>
        <v>5590384.1114248484</v>
      </c>
      <c r="G496" s="1269">
        <f t="shared" si="291"/>
        <v>5665384.1114248484</v>
      </c>
      <c r="H496" s="1269">
        <f t="shared" si="291"/>
        <v>5740384.1114248484</v>
      </c>
      <c r="I496" s="1269">
        <f t="shared" si="291"/>
        <v>5815384.1114248484</v>
      </c>
      <c r="J496" s="1269">
        <f t="shared" si="291"/>
        <v>5890384.1114248484</v>
      </c>
      <c r="K496" s="1269">
        <f t="shared" si="291"/>
        <v>5965384.1114248484</v>
      </c>
      <c r="L496" s="1269">
        <f t="shared" si="291"/>
        <v>6040384.1114248484</v>
      </c>
      <c r="M496" s="1269">
        <f t="shared" si="291"/>
        <v>6115384.1114248484</v>
      </c>
      <c r="N496" s="1269">
        <f t="shared" si="291"/>
        <v>6190384.1114248484</v>
      </c>
      <c r="O496" s="1269">
        <f t="shared" si="291"/>
        <v>6265384.1114248484</v>
      </c>
      <c r="P496" s="1269">
        <f t="shared" si="291"/>
        <v>6340384.1114248484</v>
      </c>
      <c r="Q496" s="1269">
        <f t="shared" si="291"/>
        <v>6415384.1114248484</v>
      </c>
      <c r="R496" s="1269">
        <f t="shared" si="291"/>
        <v>6490384.1114248484</v>
      </c>
      <c r="S496" s="1269">
        <f t="shared" si="291"/>
        <v>6565384.1114248484</v>
      </c>
      <c r="T496" s="1269">
        <f t="shared" si="291"/>
        <v>18368057.446679149</v>
      </c>
      <c r="U496" s="1269">
        <f t="shared" si="291"/>
        <v>18443057.446679149</v>
      </c>
      <c r="V496" s="1269">
        <f t="shared" si="291"/>
        <v>18518057.446679149</v>
      </c>
      <c r="W496" s="1269">
        <f t="shared" si="291"/>
        <v>18593057.446679149</v>
      </c>
      <c r="X496" s="1269">
        <f t="shared" si="291"/>
        <v>18668057.446679149</v>
      </c>
      <c r="Y496" s="1269">
        <f t="shared" si="291"/>
        <v>18743057.446679149</v>
      </c>
      <c r="Z496" s="1269">
        <f t="shared" si="291"/>
        <v>18743057.446679149</v>
      </c>
      <c r="AA496" s="1269">
        <f t="shared" si="291"/>
        <v>18743057.446679149</v>
      </c>
      <c r="AB496" s="1269">
        <f t="shared" si="291"/>
        <v>18743057.446679149</v>
      </c>
      <c r="AC496" s="1269">
        <f t="shared" si="291"/>
        <v>18743057.446679149</v>
      </c>
      <c r="AD496" s="1269">
        <f t="shared" si="291"/>
        <v>18743057.446679149</v>
      </c>
      <c r="AE496" s="1269">
        <f t="shared" si="291"/>
        <v>18743057.446679149</v>
      </c>
      <c r="AF496" s="1269">
        <f t="shared" si="291"/>
        <v>18743057.446679149</v>
      </c>
      <c r="AG496" s="1269">
        <f t="shared" si="291"/>
        <v>18743057.446679149</v>
      </c>
      <c r="AH496" s="1269">
        <f t="shared" si="291"/>
        <v>18743057.446679149</v>
      </c>
      <c r="AI496" s="1284">
        <f t="shared" si="291"/>
        <v>58528841.114248484</v>
      </c>
      <c r="AJ496" s="1285">
        <f t="shared" si="291"/>
        <v>183196048.90476847</v>
      </c>
      <c r="AK496" s="1286">
        <f t="shared" si="291"/>
        <v>370626623.37156004</v>
      </c>
    </row>
    <row r="497" spans="1:37" x14ac:dyDescent="0.2">
      <c r="A497" s="505"/>
      <c r="B497" s="361" t="s">
        <v>295</v>
      </c>
      <c r="C497" s="465" t="s">
        <v>37</v>
      </c>
      <c r="D497" s="507">
        <f t="shared" ref="D497:AH497" si="292">D19</f>
        <v>0</v>
      </c>
      <c r="E497" s="507">
        <f t="shared" si="292"/>
        <v>1117870.1201950379</v>
      </c>
      <c r="F497" s="507">
        <f t="shared" si="292"/>
        <v>1133071.2843063383</v>
      </c>
      <c r="G497" s="507">
        <f t="shared" si="292"/>
        <v>1148272.4484176387</v>
      </c>
      <c r="H497" s="507">
        <f t="shared" si="292"/>
        <v>1163473.612528939</v>
      </c>
      <c r="I497" s="507">
        <f t="shared" si="292"/>
        <v>1178674.7766402394</v>
      </c>
      <c r="J497" s="507">
        <f t="shared" si="292"/>
        <v>1193875.9407515398</v>
      </c>
      <c r="K497" s="507">
        <f t="shared" si="292"/>
        <v>1209077.1048628401</v>
      </c>
      <c r="L497" s="507">
        <f t="shared" si="292"/>
        <v>1224278.2689741405</v>
      </c>
      <c r="M497" s="507">
        <f t="shared" si="292"/>
        <v>1239479.4330854411</v>
      </c>
      <c r="N497" s="507">
        <f t="shared" si="292"/>
        <v>1254680.5971967415</v>
      </c>
      <c r="O497" s="507">
        <f t="shared" si="292"/>
        <v>1269881.7613080419</v>
      </c>
      <c r="P497" s="507">
        <f t="shared" si="292"/>
        <v>1285082.9254193422</v>
      </c>
      <c r="Q497" s="507">
        <f t="shared" si="292"/>
        <v>1300284.0895306426</v>
      </c>
      <c r="R497" s="507">
        <f t="shared" si="292"/>
        <v>1315485.253641943</v>
      </c>
      <c r="S497" s="507">
        <f t="shared" si="292"/>
        <v>1330686.4177532434</v>
      </c>
      <c r="T497" s="507">
        <f t="shared" si="292"/>
        <v>3722878.0753701748</v>
      </c>
      <c r="U497" s="507">
        <f t="shared" si="292"/>
        <v>3738079.2394814752</v>
      </c>
      <c r="V497" s="507">
        <f t="shared" si="292"/>
        <v>3753280.4035927756</v>
      </c>
      <c r="W497" s="507">
        <f t="shared" si="292"/>
        <v>3768481.5677040759</v>
      </c>
      <c r="X497" s="507">
        <f t="shared" si="292"/>
        <v>3783682.7318153763</v>
      </c>
      <c r="Y497" s="507">
        <f t="shared" si="292"/>
        <v>3798883.8959266767</v>
      </c>
      <c r="Z497" s="507">
        <f t="shared" si="292"/>
        <v>3798883.8959266767</v>
      </c>
      <c r="AA497" s="507">
        <f t="shared" si="292"/>
        <v>3798883.8959266767</v>
      </c>
      <c r="AB497" s="507">
        <f t="shared" si="292"/>
        <v>3798883.8959266767</v>
      </c>
      <c r="AC497" s="507">
        <f t="shared" si="292"/>
        <v>3798883.8959266767</v>
      </c>
      <c r="AD497" s="507">
        <f t="shared" si="292"/>
        <v>3798883.8959266767</v>
      </c>
      <c r="AE497" s="507">
        <f t="shared" si="292"/>
        <v>3798883.8959266767</v>
      </c>
      <c r="AF497" s="507">
        <f t="shared" si="292"/>
        <v>3798883.8959266767</v>
      </c>
      <c r="AG497" s="507">
        <f t="shared" si="292"/>
        <v>3798883.8959266767</v>
      </c>
      <c r="AH497" s="507">
        <f t="shared" si="292"/>
        <v>3798883.8959266767</v>
      </c>
      <c r="AI497" s="557">
        <f t="shared" si="274"/>
        <v>11862753.586958896</v>
      </c>
      <c r="AJ497" s="558">
        <f t="shared" si="275"/>
        <v>37130576.052575983</v>
      </c>
      <c r="AK497" s="542">
        <f t="shared" si="276"/>
        <v>75119415.011842757</v>
      </c>
    </row>
    <row r="498" spans="1:37" x14ac:dyDescent="0.2">
      <c r="A498" s="505"/>
      <c r="B498" s="361" t="s">
        <v>296</v>
      </c>
      <c r="C498" s="465" t="s">
        <v>37</v>
      </c>
      <c r="D498" s="507">
        <f t="shared" ref="D498:AH498" si="293">D20</f>
        <v>0</v>
      </c>
      <c r="E498" s="507">
        <f t="shared" si="293"/>
        <v>417894.56851204258</v>
      </c>
      <c r="F498" s="507">
        <f t="shared" si="293"/>
        <v>423577.23575791571</v>
      </c>
      <c r="G498" s="507">
        <f t="shared" si="293"/>
        <v>429259.90300378884</v>
      </c>
      <c r="H498" s="507">
        <f t="shared" si="293"/>
        <v>434942.57024966204</v>
      </c>
      <c r="I498" s="507">
        <f t="shared" si="293"/>
        <v>440625.23749553517</v>
      </c>
      <c r="J498" s="507">
        <f t="shared" si="293"/>
        <v>446307.9047414083</v>
      </c>
      <c r="K498" s="507">
        <f t="shared" si="293"/>
        <v>451990.5719872815</v>
      </c>
      <c r="L498" s="507">
        <f t="shared" si="293"/>
        <v>457673.23923315463</v>
      </c>
      <c r="M498" s="507">
        <f t="shared" si="293"/>
        <v>463355.90647902776</v>
      </c>
      <c r="N498" s="507">
        <f t="shared" si="293"/>
        <v>469038.57372490095</v>
      </c>
      <c r="O498" s="507">
        <f t="shared" si="293"/>
        <v>474721.24097077409</v>
      </c>
      <c r="P498" s="507">
        <f t="shared" si="293"/>
        <v>480403.90821664722</v>
      </c>
      <c r="Q498" s="507">
        <f t="shared" si="293"/>
        <v>486086.57546252041</v>
      </c>
      <c r="R498" s="507">
        <f t="shared" si="293"/>
        <v>491769.24270839355</v>
      </c>
      <c r="S498" s="507">
        <f t="shared" si="293"/>
        <v>497451.90995426668</v>
      </c>
      <c r="T498" s="507">
        <f t="shared" si="293"/>
        <v>1391727.4456341341</v>
      </c>
      <c r="U498" s="507">
        <f t="shared" si="293"/>
        <v>1397410.1128800074</v>
      </c>
      <c r="V498" s="507">
        <f t="shared" si="293"/>
        <v>1403092.7801258806</v>
      </c>
      <c r="W498" s="507">
        <f t="shared" si="293"/>
        <v>1408775.4473717536</v>
      </c>
      <c r="X498" s="507">
        <f t="shared" si="293"/>
        <v>1414458.1146176269</v>
      </c>
      <c r="Y498" s="507">
        <f t="shared" si="293"/>
        <v>1420140.7818634999</v>
      </c>
      <c r="Z498" s="507">
        <f t="shared" si="293"/>
        <v>1420140.7818634999</v>
      </c>
      <c r="AA498" s="507">
        <f t="shared" si="293"/>
        <v>1420140.7818634999</v>
      </c>
      <c r="AB498" s="507">
        <f t="shared" si="293"/>
        <v>1420140.7818634999</v>
      </c>
      <c r="AC498" s="507">
        <f t="shared" si="293"/>
        <v>1420140.7818634999</v>
      </c>
      <c r="AD498" s="507">
        <f t="shared" si="293"/>
        <v>1420140.7818634999</v>
      </c>
      <c r="AE498" s="507">
        <f t="shared" si="293"/>
        <v>1420140.7818634999</v>
      </c>
      <c r="AF498" s="507">
        <f t="shared" si="293"/>
        <v>1420140.7818634999</v>
      </c>
      <c r="AG498" s="507">
        <f t="shared" si="293"/>
        <v>1420140.7818634999</v>
      </c>
      <c r="AH498" s="507">
        <f t="shared" si="293"/>
        <v>1420140.7818634999</v>
      </c>
      <c r="AI498" s="557">
        <f t="shared" si="274"/>
        <v>4434665.7111847177</v>
      </c>
      <c r="AJ498" s="558">
        <f t="shared" si="275"/>
        <v>13880562.48912672</v>
      </c>
      <c r="AK498" s="542">
        <f t="shared" si="276"/>
        <v>28081970.307761714</v>
      </c>
    </row>
    <row r="499" spans="1:37" x14ac:dyDescent="0.2">
      <c r="A499" s="505"/>
      <c r="B499" s="361" t="s">
        <v>261</v>
      </c>
      <c r="C499" s="465" t="s">
        <v>37</v>
      </c>
      <c r="D499" s="507">
        <f t="shared" ref="D499:AH499" si="294">D21</f>
        <v>0</v>
      </c>
      <c r="E499" s="507">
        <f t="shared" si="294"/>
        <v>716841.98147460946</v>
      </c>
      <c r="F499" s="507">
        <f t="shared" si="294"/>
        <v>716841.98147460946</v>
      </c>
      <c r="G499" s="507">
        <f t="shared" si="294"/>
        <v>716841.98147460946</v>
      </c>
      <c r="H499" s="507">
        <f t="shared" si="294"/>
        <v>716841.98147460946</v>
      </c>
      <c r="I499" s="507">
        <f t="shared" si="294"/>
        <v>716841.98147460946</v>
      </c>
      <c r="J499" s="507">
        <f t="shared" si="294"/>
        <v>716841.98147460946</v>
      </c>
      <c r="K499" s="507">
        <f t="shared" si="294"/>
        <v>716841.98147460946</v>
      </c>
      <c r="L499" s="507">
        <f t="shared" si="294"/>
        <v>716841.98147460946</v>
      </c>
      <c r="M499" s="507">
        <f t="shared" si="294"/>
        <v>716841.98147460946</v>
      </c>
      <c r="N499" s="507">
        <f t="shared" si="294"/>
        <v>716841.98147460946</v>
      </c>
      <c r="O499" s="507">
        <f t="shared" si="294"/>
        <v>716841.98147460946</v>
      </c>
      <c r="P499" s="507">
        <f t="shared" si="294"/>
        <v>716841.98147460946</v>
      </c>
      <c r="Q499" s="507">
        <f t="shared" si="294"/>
        <v>716841.98147460946</v>
      </c>
      <c r="R499" s="507">
        <f t="shared" si="294"/>
        <v>716841.98147460946</v>
      </c>
      <c r="S499" s="507">
        <f t="shared" si="294"/>
        <v>716841.98147460946</v>
      </c>
      <c r="T499" s="507">
        <f t="shared" si="294"/>
        <v>716841.98147460946</v>
      </c>
      <c r="U499" s="507">
        <f t="shared" si="294"/>
        <v>716841.98147460946</v>
      </c>
      <c r="V499" s="507">
        <f t="shared" si="294"/>
        <v>716841.98147460946</v>
      </c>
      <c r="W499" s="507">
        <f t="shared" si="294"/>
        <v>716841.98147460946</v>
      </c>
      <c r="X499" s="507">
        <f t="shared" si="294"/>
        <v>716841.98147460946</v>
      </c>
      <c r="Y499" s="507">
        <f t="shared" si="294"/>
        <v>716841.98147460946</v>
      </c>
      <c r="Z499" s="507">
        <f t="shared" si="294"/>
        <v>716841.98147460946</v>
      </c>
      <c r="AA499" s="507">
        <f t="shared" si="294"/>
        <v>716841.98147460946</v>
      </c>
      <c r="AB499" s="507">
        <f t="shared" si="294"/>
        <v>716841.98147460946</v>
      </c>
      <c r="AC499" s="507">
        <f t="shared" si="294"/>
        <v>716841.98147460946</v>
      </c>
      <c r="AD499" s="507">
        <f t="shared" si="294"/>
        <v>716841.98147460946</v>
      </c>
      <c r="AE499" s="507">
        <f t="shared" si="294"/>
        <v>716841.98147460946</v>
      </c>
      <c r="AF499" s="507">
        <f t="shared" si="294"/>
        <v>716841.98147460946</v>
      </c>
      <c r="AG499" s="507">
        <f t="shared" si="294"/>
        <v>716841.98147460946</v>
      </c>
      <c r="AH499" s="507">
        <f t="shared" si="294"/>
        <v>716841.98147460946</v>
      </c>
      <c r="AI499" s="557">
        <f t="shared" si="274"/>
        <v>7168419.814746093</v>
      </c>
      <c r="AJ499" s="558">
        <f t="shared" si="275"/>
        <v>14336839.629492192</v>
      </c>
      <c r="AK499" s="542">
        <f t="shared" si="276"/>
        <v>21505259.444238279</v>
      </c>
    </row>
    <row r="500" spans="1:37" x14ac:dyDescent="0.2">
      <c r="A500" s="1295"/>
      <c r="B500" s="1296" t="s">
        <v>281</v>
      </c>
      <c r="C500" s="1259" t="s">
        <v>37</v>
      </c>
      <c r="D500" s="1254">
        <f t="shared" ref="D500:AH500" si="295">D22</f>
        <v>0</v>
      </c>
      <c r="E500" s="1254">
        <f t="shared" si="295"/>
        <v>21891656.892474696</v>
      </c>
      <c r="F500" s="1254">
        <f t="shared" si="295"/>
        <v>20653049.989347842</v>
      </c>
      <c r="G500" s="1254">
        <f t="shared" si="295"/>
        <v>19414443.086220983</v>
      </c>
      <c r="H500" s="1254">
        <f t="shared" si="295"/>
        <v>18175836.183094125</v>
      </c>
      <c r="I500" s="1254">
        <f t="shared" si="295"/>
        <v>16937229.279967267</v>
      </c>
      <c r="J500" s="1254">
        <f t="shared" si="295"/>
        <v>15698622.376840409</v>
      </c>
      <c r="K500" s="1254">
        <f t="shared" si="295"/>
        <v>14460015.473713551</v>
      </c>
      <c r="L500" s="1254">
        <f t="shared" si="295"/>
        <v>13221408.570586693</v>
      </c>
      <c r="M500" s="1254">
        <f t="shared" si="295"/>
        <v>11982801.667459836</v>
      </c>
      <c r="N500" s="1254">
        <f t="shared" si="295"/>
        <v>10744194.764332978</v>
      </c>
      <c r="O500" s="1254">
        <f t="shared" si="295"/>
        <v>9505587.8612061199</v>
      </c>
      <c r="P500" s="1254">
        <f t="shared" si="295"/>
        <v>8266980.9580792617</v>
      </c>
      <c r="Q500" s="1254">
        <f t="shared" si="295"/>
        <v>7028374.0549524045</v>
      </c>
      <c r="R500" s="1254">
        <f t="shared" si="295"/>
        <v>5789767.1518255463</v>
      </c>
      <c r="S500" s="1254">
        <f t="shared" si="295"/>
        <v>4551160.248698689</v>
      </c>
      <c r="T500" s="1254">
        <f t="shared" si="295"/>
        <v>3312553.3455718309</v>
      </c>
      <c r="U500" s="1254">
        <f t="shared" si="295"/>
        <v>3168529.2870687079</v>
      </c>
      <c r="V500" s="1254">
        <f t="shared" si="295"/>
        <v>3024505.2285655849</v>
      </c>
      <c r="W500" s="1254">
        <f t="shared" si="295"/>
        <v>2880481.1700624619</v>
      </c>
      <c r="X500" s="1254">
        <f t="shared" si="295"/>
        <v>2736457.1115593389</v>
      </c>
      <c r="Y500" s="1254">
        <f t="shared" si="295"/>
        <v>2592433.0530562159</v>
      </c>
      <c r="Z500" s="1254">
        <f t="shared" si="295"/>
        <v>2448408.9945530929</v>
      </c>
      <c r="AA500" s="1254">
        <f t="shared" si="295"/>
        <v>2304384.9360499699</v>
      </c>
      <c r="AB500" s="1254">
        <f t="shared" si="295"/>
        <v>2160360.8775468469</v>
      </c>
      <c r="AC500" s="1254">
        <f t="shared" si="295"/>
        <v>2016336.8190437239</v>
      </c>
      <c r="AD500" s="1254">
        <f t="shared" si="295"/>
        <v>1872312.7605406009</v>
      </c>
      <c r="AE500" s="1254">
        <f t="shared" si="295"/>
        <v>1728288.7020374779</v>
      </c>
      <c r="AF500" s="1254">
        <f t="shared" si="295"/>
        <v>1584264.6435343549</v>
      </c>
      <c r="AG500" s="1254">
        <f t="shared" si="295"/>
        <v>1440240.5850312319</v>
      </c>
      <c r="AH500" s="1254">
        <f t="shared" si="295"/>
        <v>1296216.5265281089</v>
      </c>
      <c r="AI500" s="557">
        <f t="shared" si="274"/>
        <v>163179258.28403839</v>
      </c>
      <c r="AJ500" s="558">
        <f t="shared" si="275"/>
        <v>213443654.70162827</v>
      </c>
      <c r="AK500" s="542">
        <f t="shared" si="276"/>
        <v>232886902.59954992</v>
      </c>
    </row>
    <row r="501" spans="1:37" x14ac:dyDescent="0.2">
      <c r="A501" s="1295" t="s">
        <v>299</v>
      </c>
      <c r="B501" s="1258"/>
      <c r="C501" s="1259"/>
      <c r="D501" s="1254">
        <f t="shared" ref="D501:AH501" si="296">D484+D488</f>
        <v>-1563689778.0339069</v>
      </c>
      <c r="E501" s="1254">
        <f>E484+E488</f>
        <v>105581501.38733615</v>
      </c>
      <c r="F501" s="1254">
        <f t="shared" si="296"/>
        <v>106724224.45910583</v>
      </c>
      <c r="G501" s="1254">
        <f t="shared" si="296"/>
        <v>107866947.53087552</v>
      </c>
      <c r="H501" s="1254">
        <f t="shared" si="296"/>
        <v>109009670.6026452</v>
      </c>
      <c r="I501" s="1254">
        <f t="shared" si="296"/>
        <v>110152393.67441489</v>
      </c>
      <c r="J501" s="1254">
        <f t="shared" si="296"/>
        <v>111295116.74618457</v>
      </c>
      <c r="K501" s="1254">
        <f t="shared" si="296"/>
        <v>112437839.81795426</v>
      </c>
      <c r="L501" s="1254">
        <f t="shared" si="296"/>
        <v>113580562.88972394</v>
      </c>
      <c r="M501" s="1254">
        <f t="shared" si="296"/>
        <v>114723285.96149361</v>
      </c>
      <c r="N501" s="1254">
        <f t="shared" si="296"/>
        <v>115866009.0332633</v>
      </c>
      <c r="O501" s="1254">
        <f t="shared" si="296"/>
        <v>117008732.10503298</v>
      </c>
      <c r="P501" s="1254">
        <f t="shared" si="296"/>
        <v>118151455.17680266</v>
      </c>
      <c r="Q501" s="1254">
        <f t="shared" si="296"/>
        <v>119294178.24857236</v>
      </c>
      <c r="R501" s="1254">
        <f t="shared" si="296"/>
        <v>120436901.32034205</v>
      </c>
      <c r="S501" s="1254">
        <f t="shared" si="296"/>
        <v>121579624.39211173</v>
      </c>
      <c r="T501" s="1254">
        <f t="shared" si="296"/>
        <v>107729090.76668748</v>
      </c>
      <c r="U501" s="1254">
        <f t="shared" si="296"/>
        <v>107777230.99383344</v>
      </c>
      <c r="V501" s="1254">
        <f t="shared" si="296"/>
        <v>107825371.22097939</v>
      </c>
      <c r="W501" s="1254">
        <f t="shared" si="296"/>
        <v>107873511.44812535</v>
      </c>
      <c r="X501" s="1254">
        <f t="shared" si="296"/>
        <v>107921651.6752713</v>
      </c>
      <c r="Y501" s="1254">
        <f t="shared" si="296"/>
        <v>107969791.90241724</v>
      </c>
      <c r="Z501" s="1254">
        <f t="shared" si="296"/>
        <v>108113815.96092036</v>
      </c>
      <c r="AA501" s="1254">
        <f t="shared" si="296"/>
        <v>108257840.01942348</v>
      </c>
      <c r="AB501" s="1254">
        <f t="shared" si="296"/>
        <v>108401864.07792661</v>
      </c>
      <c r="AC501" s="1254">
        <f t="shared" si="296"/>
        <v>108545888.13642973</v>
      </c>
      <c r="AD501" s="1254">
        <f t="shared" si="296"/>
        <v>108689912.19493285</v>
      </c>
      <c r="AE501" s="1254">
        <f t="shared" si="296"/>
        <v>108833936.25343597</v>
      </c>
      <c r="AF501" s="1254">
        <f t="shared" si="296"/>
        <v>108977960.31193909</v>
      </c>
      <c r="AG501" s="1254">
        <f t="shared" si="296"/>
        <v>109121984.37044221</v>
      </c>
      <c r="AH501" s="1254">
        <f t="shared" si="296"/>
        <v>109266008.42894535</v>
      </c>
      <c r="AI501" s="1297">
        <f t="shared" si="274"/>
        <v>-456452225.93090975</v>
      </c>
      <c r="AJ501" s="1282">
        <f t="shared" si="275"/>
        <v>679145521.41684902</v>
      </c>
      <c r="AK501" s="1298">
        <f t="shared" si="276"/>
        <v>1765324523.073662</v>
      </c>
    </row>
    <row r="502" spans="1:37" x14ac:dyDescent="0.2">
      <c r="A502" s="505" t="s">
        <v>300</v>
      </c>
      <c r="B502" s="452"/>
      <c r="C502" s="465" t="s">
        <v>37</v>
      </c>
      <c r="D502" s="507"/>
      <c r="E502" s="507"/>
      <c r="F502" s="507"/>
      <c r="G502" s="507"/>
      <c r="H502" s="507"/>
      <c r="I502" s="507"/>
      <c r="J502" s="507"/>
      <c r="K502" s="507"/>
      <c r="L502" s="507"/>
      <c r="M502" s="507"/>
      <c r="N502" s="507"/>
      <c r="O502" s="507"/>
      <c r="P502" s="507"/>
      <c r="Q502" s="507"/>
      <c r="R502" s="507"/>
      <c r="S502" s="507"/>
      <c r="T502" s="507"/>
      <c r="U502" s="507"/>
      <c r="V502" s="507"/>
      <c r="W502" s="507"/>
      <c r="X502" s="507"/>
      <c r="Y502" s="507"/>
      <c r="Z502" s="507"/>
      <c r="AA502" s="507"/>
      <c r="AB502" s="507"/>
      <c r="AC502" s="507"/>
      <c r="AD502" s="507"/>
      <c r="AE502" s="507"/>
      <c r="AF502" s="507"/>
      <c r="AG502" s="507"/>
      <c r="AH502" s="507"/>
      <c r="AI502" s="557"/>
      <c r="AJ502" s="558"/>
      <c r="AK502" s="542"/>
    </row>
    <row r="503" spans="1:37" x14ac:dyDescent="0.2">
      <c r="A503" s="505"/>
      <c r="B503" s="452" t="s">
        <v>446</v>
      </c>
      <c r="C503" s="465" t="s">
        <v>37</v>
      </c>
      <c r="D503" s="507">
        <f>-インプット!E95</f>
        <v>0</v>
      </c>
      <c r="E503" s="507">
        <v>0</v>
      </c>
      <c r="F503" s="507">
        <v>0</v>
      </c>
      <c r="G503" s="507">
        <v>0</v>
      </c>
      <c r="H503" s="507">
        <v>0</v>
      </c>
      <c r="I503" s="507">
        <v>0</v>
      </c>
      <c r="J503" s="507">
        <v>0</v>
      </c>
      <c r="K503" s="507">
        <v>0</v>
      </c>
      <c r="L503" s="507">
        <v>0</v>
      </c>
      <c r="M503" s="507">
        <v>0</v>
      </c>
      <c r="N503" s="507">
        <v>0</v>
      </c>
      <c r="O503" s="507">
        <v>0</v>
      </c>
      <c r="P503" s="507">
        <v>0</v>
      </c>
      <c r="Q503" s="507">
        <v>0</v>
      </c>
      <c r="R503" s="507">
        <v>0</v>
      </c>
      <c r="S503" s="507">
        <v>0</v>
      </c>
      <c r="T503" s="507">
        <v>0</v>
      </c>
      <c r="U503" s="507">
        <v>0</v>
      </c>
      <c r="V503" s="507">
        <v>0</v>
      </c>
      <c r="W503" s="507">
        <v>0</v>
      </c>
      <c r="X503" s="507">
        <v>0</v>
      </c>
      <c r="Y503" s="507">
        <v>0</v>
      </c>
      <c r="Z503" s="507">
        <v>0</v>
      </c>
      <c r="AA503" s="507">
        <v>0</v>
      </c>
      <c r="AB503" s="507">
        <v>0</v>
      </c>
      <c r="AC503" s="507">
        <v>0</v>
      </c>
      <c r="AD503" s="507">
        <v>0</v>
      </c>
      <c r="AE503" s="507">
        <v>0</v>
      </c>
      <c r="AF503" s="507">
        <v>0</v>
      </c>
      <c r="AG503" s="507">
        <v>0</v>
      </c>
      <c r="AH503" s="507">
        <v>0</v>
      </c>
      <c r="AI503" s="557">
        <f>SUM(D503:N503)</f>
        <v>0</v>
      </c>
      <c r="AJ503" s="558">
        <f>SUM(D503:X503)</f>
        <v>0</v>
      </c>
      <c r="AK503" s="542">
        <f>SUM(D503:AH503)</f>
        <v>0</v>
      </c>
    </row>
    <row r="504" spans="1:37" x14ac:dyDescent="0.2">
      <c r="A504" s="505"/>
      <c r="B504" s="452" t="s">
        <v>297</v>
      </c>
      <c r="C504" s="465" t="s">
        <v>37</v>
      </c>
      <c r="D504" s="507">
        <f>-計算シート!D188</f>
        <v>0</v>
      </c>
      <c r="E504" s="507">
        <f>-計算シート!E188</f>
        <v>50000000</v>
      </c>
      <c r="F504" s="507">
        <f>-計算シート!F188</f>
        <v>50000000</v>
      </c>
      <c r="G504" s="507"/>
      <c r="H504" s="507">
        <f>-計算シート!H188</f>
        <v>50000000</v>
      </c>
      <c r="I504" s="507">
        <f>-計算シート!I188</f>
        <v>50000000</v>
      </c>
      <c r="J504" s="507">
        <f>-計算シート!J188</f>
        <v>50000000</v>
      </c>
      <c r="K504" s="507">
        <f>-計算シート!K188</f>
        <v>50000000</v>
      </c>
      <c r="L504" s="507">
        <f>-計算シート!L188</f>
        <v>50000000</v>
      </c>
      <c r="M504" s="507">
        <f>-計算シート!M188</f>
        <v>50000000</v>
      </c>
      <c r="N504" s="507">
        <f>-計算シート!N188</f>
        <v>50000000</v>
      </c>
      <c r="O504" s="507">
        <f>-計算シート!O188</f>
        <v>50000000</v>
      </c>
      <c r="P504" s="507">
        <f>-計算シート!P188</f>
        <v>50000000</v>
      </c>
      <c r="Q504" s="507">
        <f>-計算シート!Q188</f>
        <v>50000000</v>
      </c>
      <c r="R504" s="507">
        <f>-計算シート!R188</f>
        <v>50000000</v>
      </c>
      <c r="S504" s="507">
        <f>-計算シート!S188</f>
        <v>50000000</v>
      </c>
      <c r="T504" s="507">
        <f>-計算シート!T188</f>
        <v>50000000</v>
      </c>
      <c r="U504" s="507">
        <f>-計算シート!U188</f>
        <v>50000000</v>
      </c>
      <c r="V504" s="507">
        <f>-計算シート!V188</f>
        <v>50000000</v>
      </c>
      <c r="W504" s="507">
        <f>-計算シート!W188</f>
        <v>50000000</v>
      </c>
      <c r="X504" s="507">
        <f>-計算シート!X188</f>
        <v>50000000</v>
      </c>
      <c r="Y504" s="507">
        <f>-計算シート!Y188</f>
        <v>0</v>
      </c>
      <c r="Z504" s="507">
        <f>-計算シート!Z188</f>
        <v>0</v>
      </c>
      <c r="AA504" s="507">
        <f>-計算シート!AA188</f>
        <v>0</v>
      </c>
      <c r="AB504" s="507">
        <f>-計算シート!AB188</f>
        <v>0</v>
      </c>
      <c r="AC504" s="507">
        <f>-計算シート!AC188</f>
        <v>0</v>
      </c>
      <c r="AD504" s="507">
        <f>-計算シート!AD188</f>
        <v>0</v>
      </c>
      <c r="AE504" s="507">
        <f>-計算シート!AE188</f>
        <v>0</v>
      </c>
      <c r="AF504" s="507">
        <f>-計算シート!AF188</f>
        <v>0</v>
      </c>
      <c r="AG504" s="507">
        <f>-計算シート!AG188</f>
        <v>0</v>
      </c>
      <c r="AH504" s="507">
        <f>-計算シート!AH188</f>
        <v>0</v>
      </c>
      <c r="AI504" s="557">
        <f t="shared" si="274"/>
        <v>450000000</v>
      </c>
      <c r="AJ504" s="558">
        <f t="shared" si="275"/>
        <v>950000000</v>
      </c>
      <c r="AK504" s="542">
        <f t="shared" si="276"/>
        <v>950000000</v>
      </c>
    </row>
    <row r="505" spans="1:37" x14ac:dyDescent="0.2">
      <c r="A505" s="1295"/>
      <c r="B505" s="1258" t="s">
        <v>210</v>
      </c>
      <c r="C505" s="1259" t="s">
        <v>37</v>
      </c>
      <c r="D505" s="1254">
        <f t="shared" ref="D505:AH505" si="297">D39</f>
        <v>0</v>
      </c>
      <c r="E505" s="1254">
        <f t="shared" si="297"/>
        <v>10000000</v>
      </c>
      <c r="F505" s="1254">
        <f t="shared" si="297"/>
        <v>9500000</v>
      </c>
      <c r="G505" s="1254">
        <f t="shared" si="297"/>
        <v>9000000</v>
      </c>
      <c r="H505" s="1254">
        <f t="shared" si="297"/>
        <v>8500000</v>
      </c>
      <c r="I505" s="1254">
        <f t="shared" si="297"/>
        <v>8000000</v>
      </c>
      <c r="J505" s="1254">
        <f t="shared" si="297"/>
        <v>7500000</v>
      </c>
      <c r="K505" s="1254">
        <f t="shared" si="297"/>
        <v>7000000</v>
      </c>
      <c r="L505" s="1254">
        <f t="shared" si="297"/>
        <v>6500000</v>
      </c>
      <c r="M505" s="1254">
        <f t="shared" si="297"/>
        <v>6000000</v>
      </c>
      <c r="N505" s="1254">
        <f t="shared" si="297"/>
        <v>5500000</v>
      </c>
      <c r="O505" s="1254">
        <f t="shared" si="297"/>
        <v>5000000</v>
      </c>
      <c r="P505" s="1254">
        <f t="shared" si="297"/>
        <v>4500000</v>
      </c>
      <c r="Q505" s="1254">
        <f t="shared" si="297"/>
        <v>4000000</v>
      </c>
      <c r="R505" s="1254">
        <f t="shared" si="297"/>
        <v>3500000</v>
      </c>
      <c r="S505" s="1254">
        <f t="shared" si="297"/>
        <v>3000000</v>
      </c>
      <c r="T505" s="1254">
        <f t="shared" si="297"/>
        <v>2500000</v>
      </c>
      <c r="U505" s="1254">
        <f t="shared" si="297"/>
        <v>2000000</v>
      </c>
      <c r="V505" s="1254">
        <f t="shared" si="297"/>
        <v>1500000</v>
      </c>
      <c r="W505" s="1254">
        <f t="shared" si="297"/>
        <v>1000000</v>
      </c>
      <c r="X505" s="1254">
        <f t="shared" si="297"/>
        <v>500000</v>
      </c>
      <c r="Y505" s="1254">
        <f t="shared" si="297"/>
        <v>0</v>
      </c>
      <c r="Z505" s="1254">
        <f t="shared" si="297"/>
        <v>0</v>
      </c>
      <c r="AA505" s="1254">
        <f t="shared" si="297"/>
        <v>0</v>
      </c>
      <c r="AB505" s="1254">
        <f t="shared" si="297"/>
        <v>0</v>
      </c>
      <c r="AC505" s="1254">
        <f t="shared" si="297"/>
        <v>0</v>
      </c>
      <c r="AD505" s="1254">
        <f t="shared" si="297"/>
        <v>0</v>
      </c>
      <c r="AE505" s="1254">
        <f t="shared" si="297"/>
        <v>0</v>
      </c>
      <c r="AF505" s="1254">
        <f t="shared" si="297"/>
        <v>0</v>
      </c>
      <c r="AG505" s="1254">
        <f t="shared" si="297"/>
        <v>0</v>
      </c>
      <c r="AH505" s="1254">
        <f t="shared" si="297"/>
        <v>0</v>
      </c>
      <c r="AI505" s="557">
        <f t="shared" si="274"/>
        <v>77500000</v>
      </c>
      <c r="AJ505" s="558">
        <f t="shared" si="275"/>
        <v>105000000</v>
      </c>
      <c r="AK505" s="542">
        <f t="shared" si="276"/>
        <v>105000000</v>
      </c>
    </row>
    <row r="506" spans="1:37" x14ac:dyDescent="0.2">
      <c r="A506" s="1295" t="s">
        <v>301</v>
      </c>
      <c r="B506" s="1258"/>
      <c r="C506" s="1259"/>
      <c r="D506" s="1254">
        <f>-D505-D504-D503</f>
        <v>0</v>
      </c>
      <c r="E506" s="1254">
        <f>-E505-E504-E503</f>
        <v>-60000000</v>
      </c>
      <c r="F506" s="1254">
        <f t="shared" ref="F506:AH506" si="298">-F505-F504-F503</f>
        <v>-59500000</v>
      </c>
      <c r="G506" s="1254">
        <f t="shared" si="298"/>
        <v>-9000000</v>
      </c>
      <c r="H506" s="1254">
        <f t="shared" si="298"/>
        <v>-58500000</v>
      </c>
      <c r="I506" s="1254">
        <f t="shared" si="298"/>
        <v>-58000000</v>
      </c>
      <c r="J506" s="1254">
        <f t="shared" si="298"/>
        <v>-57500000</v>
      </c>
      <c r="K506" s="1254">
        <f t="shared" si="298"/>
        <v>-57000000</v>
      </c>
      <c r="L506" s="1254">
        <f t="shared" si="298"/>
        <v>-56500000</v>
      </c>
      <c r="M506" s="1254">
        <f t="shared" si="298"/>
        <v>-56000000</v>
      </c>
      <c r="N506" s="1254">
        <f t="shared" si="298"/>
        <v>-55500000</v>
      </c>
      <c r="O506" s="1254">
        <f t="shared" si="298"/>
        <v>-55000000</v>
      </c>
      <c r="P506" s="1254">
        <f t="shared" si="298"/>
        <v>-54500000</v>
      </c>
      <c r="Q506" s="1254">
        <f t="shared" si="298"/>
        <v>-54000000</v>
      </c>
      <c r="R506" s="1254">
        <f t="shared" si="298"/>
        <v>-53500000</v>
      </c>
      <c r="S506" s="1254">
        <f t="shared" si="298"/>
        <v>-53000000</v>
      </c>
      <c r="T506" s="1254">
        <f t="shared" si="298"/>
        <v>-52500000</v>
      </c>
      <c r="U506" s="1254">
        <f t="shared" si="298"/>
        <v>-52000000</v>
      </c>
      <c r="V506" s="1254">
        <f t="shared" si="298"/>
        <v>-51500000</v>
      </c>
      <c r="W506" s="1254">
        <f t="shared" si="298"/>
        <v>-51000000</v>
      </c>
      <c r="X506" s="1254">
        <f t="shared" si="298"/>
        <v>-50500000</v>
      </c>
      <c r="Y506" s="1254">
        <f t="shared" si="298"/>
        <v>0</v>
      </c>
      <c r="Z506" s="1254">
        <f t="shared" si="298"/>
        <v>0</v>
      </c>
      <c r="AA506" s="1254">
        <f t="shared" si="298"/>
        <v>0</v>
      </c>
      <c r="AB506" s="1254">
        <f t="shared" si="298"/>
        <v>0</v>
      </c>
      <c r="AC506" s="1254">
        <f t="shared" si="298"/>
        <v>0</v>
      </c>
      <c r="AD506" s="1254">
        <f t="shared" si="298"/>
        <v>0</v>
      </c>
      <c r="AE506" s="1254">
        <f t="shared" si="298"/>
        <v>0</v>
      </c>
      <c r="AF506" s="1254">
        <f t="shared" si="298"/>
        <v>0</v>
      </c>
      <c r="AG506" s="1254">
        <f t="shared" si="298"/>
        <v>0</v>
      </c>
      <c r="AH506" s="1254">
        <f t="shared" si="298"/>
        <v>0</v>
      </c>
      <c r="AI506" s="1297">
        <f t="shared" si="274"/>
        <v>-527500000</v>
      </c>
      <c r="AJ506" s="1282">
        <f t="shared" si="275"/>
        <v>-1055000000</v>
      </c>
      <c r="AK506" s="1298">
        <f t="shared" si="276"/>
        <v>-1055000000</v>
      </c>
    </row>
    <row r="507" spans="1:37" ht="11.5" thickBot="1" x14ac:dyDescent="0.25">
      <c r="A507" s="506" t="s">
        <v>61</v>
      </c>
      <c r="B507" s="545"/>
      <c r="C507" s="482"/>
      <c r="D507" s="520">
        <f>D506+D501+D509</f>
        <v>-1563689778.0339069</v>
      </c>
      <c r="E507" s="520">
        <f>E506+E501</f>
        <v>45581501.38733615</v>
      </c>
      <c r="F507" s="520">
        <f>F506+F501</f>
        <v>47224224.459105834</v>
      </c>
      <c r="G507" s="520">
        <f t="shared" ref="G507:AH507" si="299">G506+G501</f>
        <v>98866947.530875519</v>
      </c>
      <c r="H507" s="520">
        <f t="shared" si="299"/>
        <v>50509670.602645203</v>
      </c>
      <c r="I507" s="520">
        <f t="shared" si="299"/>
        <v>52152393.674414888</v>
      </c>
      <c r="J507" s="520">
        <f t="shared" si="299"/>
        <v>53795116.746184573</v>
      </c>
      <c r="K507" s="520">
        <f t="shared" si="299"/>
        <v>55437839.817954257</v>
      </c>
      <c r="L507" s="520">
        <f t="shared" si="299"/>
        <v>57080562.889723942</v>
      </c>
      <c r="M507" s="520">
        <f t="shared" si="299"/>
        <v>58723285.961493611</v>
      </c>
      <c r="N507" s="520">
        <f t="shared" si="299"/>
        <v>60366009.033263296</v>
      </c>
      <c r="O507" s="520">
        <f t="shared" si="299"/>
        <v>62008732.10503298</v>
      </c>
      <c r="P507" s="520">
        <f t="shared" si="299"/>
        <v>63651455.176802665</v>
      </c>
      <c r="Q507" s="520">
        <f t="shared" si="299"/>
        <v>65294178.248572364</v>
      </c>
      <c r="R507" s="520">
        <f t="shared" si="299"/>
        <v>66936901.320342049</v>
      </c>
      <c r="S507" s="520">
        <f t="shared" si="299"/>
        <v>68579624.392111734</v>
      </c>
      <c r="T507" s="520">
        <f t="shared" si="299"/>
        <v>55229090.766687483</v>
      </c>
      <c r="U507" s="520">
        <f t="shared" si="299"/>
        <v>55777230.993833438</v>
      </c>
      <c r="V507" s="520">
        <f t="shared" si="299"/>
        <v>56325371.220979393</v>
      </c>
      <c r="W507" s="520">
        <f t="shared" si="299"/>
        <v>56873511.448125347</v>
      </c>
      <c r="X507" s="520">
        <f t="shared" si="299"/>
        <v>57421651.675271302</v>
      </c>
      <c r="Y507" s="520">
        <f t="shared" si="299"/>
        <v>107969791.90241724</v>
      </c>
      <c r="Z507" s="520">
        <f t="shared" si="299"/>
        <v>108113815.96092036</v>
      </c>
      <c r="AA507" s="520">
        <f t="shared" si="299"/>
        <v>108257840.01942348</v>
      </c>
      <c r="AB507" s="520">
        <f t="shared" si="299"/>
        <v>108401864.07792661</v>
      </c>
      <c r="AC507" s="520">
        <f t="shared" si="299"/>
        <v>108545888.13642973</v>
      </c>
      <c r="AD507" s="520">
        <f t="shared" si="299"/>
        <v>108689912.19493285</v>
      </c>
      <c r="AE507" s="520">
        <f t="shared" si="299"/>
        <v>108833936.25343597</v>
      </c>
      <c r="AF507" s="520">
        <f t="shared" si="299"/>
        <v>108977960.31193909</v>
      </c>
      <c r="AG507" s="520">
        <f>AG506+AG501</f>
        <v>109121984.37044221</v>
      </c>
      <c r="AH507" s="520">
        <f t="shared" si="299"/>
        <v>109266008.42894535</v>
      </c>
      <c r="AI507" s="559">
        <f t="shared" si="274"/>
        <v>-983952225.93090963</v>
      </c>
      <c r="AJ507" s="560">
        <f t="shared" si="275"/>
        <v>-375854478.58315086</v>
      </c>
      <c r="AK507" s="561">
        <f t="shared" si="276"/>
        <v>710324523.07366204</v>
      </c>
    </row>
    <row r="508" spans="1:37" x14ac:dyDescent="0.2">
      <c r="B508" s="452"/>
      <c r="C508" s="478"/>
      <c r="D508" s="507"/>
      <c r="E508" s="507"/>
      <c r="F508" s="507"/>
      <c r="G508" s="507"/>
      <c r="H508" s="507"/>
      <c r="I508" s="507"/>
      <c r="J508" s="507"/>
      <c r="K508" s="507"/>
      <c r="L508" s="507"/>
      <c r="M508" s="507"/>
      <c r="N508" s="507"/>
      <c r="O508" s="507"/>
      <c r="P508" s="507"/>
      <c r="Q508" s="507"/>
      <c r="R508" s="507"/>
      <c r="S508" s="507"/>
      <c r="T508" s="507"/>
      <c r="U508" s="507"/>
      <c r="V508" s="507"/>
      <c r="W508" s="507"/>
      <c r="X508" s="507"/>
      <c r="Y508" s="507"/>
      <c r="Z508" s="507"/>
      <c r="AA508" s="507"/>
      <c r="AB508" s="507"/>
      <c r="AC508" s="507"/>
      <c r="AD508" s="507"/>
      <c r="AE508" s="507"/>
      <c r="AF508" s="507"/>
      <c r="AG508" s="507"/>
      <c r="AH508" s="507"/>
      <c r="AI508" s="507">
        <f>SUM(E507:N507)</f>
        <v>579737552.1029973</v>
      </c>
      <c r="AJ508" s="507">
        <f>SUM(E507:X507)</f>
        <v>1187835299.4507561</v>
      </c>
      <c r="AK508" s="527">
        <f>SUM(E507:AH507)</f>
        <v>2274014301.1075692</v>
      </c>
    </row>
    <row r="509" spans="1:37" x14ac:dyDescent="0.2">
      <c r="B509" s="452"/>
      <c r="C509" s="478"/>
      <c r="D509" s="507"/>
      <c r="E509" s="507"/>
      <c r="F509" s="507"/>
      <c r="G509" s="507"/>
      <c r="H509" s="507"/>
      <c r="I509" s="507"/>
      <c r="J509" s="507"/>
      <c r="K509" s="507"/>
      <c r="L509" s="507"/>
      <c r="M509" s="507"/>
      <c r="N509" s="507"/>
      <c r="O509" s="507"/>
      <c r="P509" s="507"/>
      <c r="Q509" s="507"/>
      <c r="R509" s="507"/>
      <c r="S509" s="507"/>
      <c r="T509" s="507"/>
      <c r="U509" s="507"/>
      <c r="V509" s="507"/>
      <c r="W509" s="507"/>
      <c r="X509" s="507"/>
      <c r="Y509" s="507"/>
      <c r="Z509" s="507"/>
      <c r="AA509" s="507"/>
      <c r="AB509" s="507"/>
      <c r="AC509" s="507"/>
      <c r="AD509" s="507"/>
      <c r="AE509" s="507"/>
      <c r="AF509" s="507"/>
      <c r="AG509" s="507"/>
      <c r="AH509" s="507"/>
      <c r="AI509" s="507"/>
      <c r="AJ509" s="507"/>
      <c r="AK509" s="527"/>
    </row>
    <row r="510" spans="1:37" ht="11.5" thickBot="1" x14ac:dyDescent="0.25">
      <c r="A510" s="1267" t="s">
        <v>1057</v>
      </c>
    </row>
    <row r="511" spans="1:37" ht="12" thickBot="1" x14ac:dyDescent="0.3">
      <c r="A511" s="459"/>
      <c r="B511" s="521" t="s">
        <v>274</v>
      </c>
      <c r="C511" s="460"/>
      <c r="D511" s="594">
        <v>0</v>
      </c>
      <c r="E511" s="461">
        <v>1</v>
      </c>
      <c r="F511" s="461">
        <v>2</v>
      </c>
      <c r="G511" s="461">
        <v>3</v>
      </c>
      <c r="H511" s="461">
        <v>4</v>
      </c>
      <c r="I511" s="461">
        <v>5</v>
      </c>
      <c r="J511" s="461">
        <v>6</v>
      </c>
      <c r="K511" s="461">
        <v>7</v>
      </c>
      <c r="L511" s="461">
        <v>8</v>
      </c>
      <c r="M511" s="461">
        <v>9</v>
      </c>
      <c r="N511" s="461">
        <v>10</v>
      </c>
      <c r="O511" s="461">
        <v>11</v>
      </c>
      <c r="P511" s="461">
        <v>12</v>
      </c>
      <c r="Q511" s="461">
        <v>13</v>
      </c>
      <c r="R511" s="461">
        <v>14</v>
      </c>
      <c r="S511" s="461">
        <v>15</v>
      </c>
      <c r="T511" s="461">
        <v>16</v>
      </c>
      <c r="U511" s="461">
        <v>17</v>
      </c>
      <c r="V511" s="461">
        <v>18</v>
      </c>
      <c r="W511" s="461">
        <v>19</v>
      </c>
      <c r="X511" s="462">
        <v>20</v>
      </c>
      <c r="Y511" s="462">
        <v>21</v>
      </c>
      <c r="Z511" s="462">
        <v>22</v>
      </c>
      <c r="AA511" s="462">
        <v>23</v>
      </c>
      <c r="AB511" s="462">
        <v>24</v>
      </c>
      <c r="AC511" s="462">
        <v>25</v>
      </c>
      <c r="AD511" s="462">
        <v>26</v>
      </c>
      <c r="AE511" s="462">
        <v>27</v>
      </c>
      <c r="AF511" s="462">
        <v>28</v>
      </c>
      <c r="AG511" s="462">
        <v>29</v>
      </c>
      <c r="AH511" s="476">
        <v>30</v>
      </c>
      <c r="AI511" s="534" t="s">
        <v>306</v>
      </c>
      <c r="AJ511" s="537" t="s">
        <v>270</v>
      </c>
      <c r="AK511" s="539" t="s">
        <v>271</v>
      </c>
    </row>
    <row r="512" spans="1:37" x14ac:dyDescent="0.2">
      <c r="A512" s="1287" t="s">
        <v>1058</v>
      </c>
      <c r="B512" s="1288"/>
      <c r="C512" s="1289" t="s">
        <v>37</v>
      </c>
      <c r="D512" s="507">
        <f t="shared" ref="D512:AH512" si="300">D396</f>
        <v>1563689778.0339069</v>
      </c>
      <c r="E512" s="507">
        <f t="shared" si="300"/>
        <v>0</v>
      </c>
      <c r="F512" s="507">
        <f t="shared" si="300"/>
        <v>0</v>
      </c>
      <c r="G512" s="507">
        <f t="shared" si="300"/>
        <v>0</v>
      </c>
      <c r="H512" s="507">
        <f t="shared" si="300"/>
        <v>0</v>
      </c>
      <c r="I512" s="507">
        <f t="shared" si="300"/>
        <v>0</v>
      </c>
      <c r="J512" s="507">
        <f t="shared" si="300"/>
        <v>0</v>
      </c>
      <c r="K512" s="507">
        <f t="shared" si="300"/>
        <v>0</v>
      </c>
      <c r="L512" s="507">
        <f t="shared" si="300"/>
        <v>0</v>
      </c>
      <c r="M512" s="507">
        <f t="shared" si="300"/>
        <v>0</v>
      </c>
      <c r="N512" s="507">
        <f t="shared" si="300"/>
        <v>0</v>
      </c>
      <c r="O512" s="507">
        <f t="shared" si="300"/>
        <v>0</v>
      </c>
      <c r="P512" s="507">
        <f t="shared" si="300"/>
        <v>0</v>
      </c>
      <c r="Q512" s="507">
        <f t="shared" si="300"/>
        <v>0</v>
      </c>
      <c r="R512" s="507">
        <f t="shared" si="300"/>
        <v>0</v>
      </c>
      <c r="S512" s="507">
        <f t="shared" si="300"/>
        <v>0</v>
      </c>
      <c r="T512" s="507">
        <f t="shared" si="300"/>
        <v>0</v>
      </c>
      <c r="U512" s="507">
        <f t="shared" si="300"/>
        <v>0</v>
      </c>
      <c r="V512" s="507">
        <f t="shared" si="300"/>
        <v>0</v>
      </c>
      <c r="W512" s="507">
        <f t="shared" si="300"/>
        <v>0</v>
      </c>
      <c r="X512" s="507">
        <f t="shared" si="300"/>
        <v>0</v>
      </c>
      <c r="Y512" s="507">
        <f t="shared" si="300"/>
        <v>0</v>
      </c>
      <c r="Z512" s="507">
        <f t="shared" si="300"/>
        <v>0</v>
      </c>
      <c r="AA512" s="507">
        <f t="shared" si="300"/>
        <v>0</v>
      </c>
      <c r="AB512" s="507">
        <f t="shared" si="300"/>
        <v>0</v>
      </c>
      <c r="AC512" s="507">
        <f t="shared" si="300"/>
        <v>0</v>
      </c>
      <c r="AD512" s="507">
        <f t="shared" si="300"/>
        <v>0</v>
      </c>
      <c r="AE512" s="507">
        <f t="shared" si="300"/>
        <v>0</v>
      </c>
      <c r="AF512" s="507">
        <f t="shared" si="300"/>
        <v>0</v>
      </c>
      <c r="AG512" s="507">
        <f t="shared" si="300"/>
        <v>0</v>
      </c>
      <c r="AH512" s="1290">
        <f t="shared" si="300"/>
        <v>0</v>
      </c>
      <c r="AI512" s="1291">
        <f>SUM(D512:N512)</f>
        <v>1563689778.0339069</v>
      </c>
      <c r="AJ512" s="1291">
        <f>SUM(D512:X512)</f>
        <v>1563689778.0339069</v>
      </c>
      <c r="AK512" s="542">
        <f>SUM(D512:AH512)</f>
        <v>1563689778.0339069</v>
      </c>
    </row>
    <row r="513" spans="1:37" x14ac:dyDescent="0.2">
      <c r="A513" s="505" t="s">
        <v>269</v>
      </c>
      <c r="B513" s="478"/>
      <c r="C513" s="465" t="s">
        <v>37</v>
      </c>
      <c r="D513" s="507">
        <f t="shared" ref="D513:AH513" si="301">D8</f>
        <v>0</v>
      </c>
      <c r="E513" s="507">
        <f t="shared" si="301"/>
        <v>68270664.902343765</v>
      </c>
      <c r="F513" s="507">
        <f t="shared" si="301"/>
        <v>68270664.902343765</v>
      </c>
      <c r="G513" s="507">
        <f t="shared" si="301"/>
        <v>68270664.902343765</v>
      </c>
      <c r="H513" s="507">
        <f t="shared" si="301"/>
        <v>68270664.902343765</v>
      </c>
      <c r="I513" s="507">
        <f t="shared" si="301"/>
        <v>68270664.902343765</v>
      </c>
      <c r="J513" s="507">
        <f t="shared" si="301"/>
        <v>68270664.902343765</v>
      </c>
      <c r="K513" s="507">
        <f t="shared" si="301"/>
        <v>68270664.902343765</v>
      </c>
      <c r="L513" s="507">
        <f t="shared" si="301"/>
        <v>68270664.902343765</v>
      </c>
      <c r="M513" s="507">
        <f t="shared" si="301"/>
        <v>68270664.902343765</v>
      </c>
      <c r="N513" s="507">
        <f t="shared" si="301"/>
        <v>68270664.902343765</v>
      </c>
      <c r="O513" s="507">
        <f t="shared" si="301"/>
        <v>68270664.902343765</v>
      </c>
      <c r="P513" s="507">
        <f t="shared" si="301"/>
        <v>68270664.902343765</v>
      </c>
      <c r="Q513" s="507">
        <f t="shared" si="301"/>
        <v>68270664.902343765</v>
      </c>
      <c r="R513" s="507">
        <f t="shared" si="301"/>
        <v>68270664.902343765</v>
      </c>
      <c r="S513" s="507">
        <f t="shared" si="301"/>
        <v>68270664.902343765</v>
      </c>
      <c r="T513" s="507">
        <f t="shared" si="301"/>
        <v>68270664.902343765</v>
      </c>
      <c r="U513" s="507">
        <f t="shared" si="301"/>
        <v>68270664.902343765</v>
      </c>
      <c r="V513" s="507">
        <f t="shared" si="301"/>
        <v>68270664.902343765</v>
      </c>
      <c r="W513" s="507">
        <f t="shared" si="301"/>
        <v>68270664.902343765</v>
      </c>
      <c r="X513" s="507">
        <f t="shared" si="301"/>
        <v>68270664.902343765</v>
      </c>
      <c r="Y513" s="507">
        <f t="shared" si="301"/>
        <v>68270664.902343765</v>
      </c>
      <c r="Z513" s="507">
        <f t="shared" si="301"/>
        <v>68270664.902343765</v>
      </c>
      <c r="AA513" s="507">
        <f t="shared" si="301"/>
        <v>68270664.902343765</v>
      </c>
      <c r="AB513" s="507">
        <f t="shared" si="301"/>
        <v>68270664.902343765</v>
      </c>
      <c r="AC513" s="507">
        <f t="shared" si="301"/>
        <v>68270664.902343765</v>
      </c>
      <c r="AD513" s="507">
        <f t="shared" si="301"/>
        <v>68270664.902343765</v>
      </c>
      <c r="AE513" s="507">
        <f t="shared" si="301"/>
        <v>68270664.902343765</v>
      </c>
      <c r="AF513" s="507">
        <f t="shared" si="301"/>
        <v>68270664.902343765</v>
      </c>
      <c r="AG513" s="507">
        <f t="shared" si="301"/>
        <v>68270664.902343765</v>
      </c>
      <c r="AH513" s="507">
        <f t="shared" si="301"/>
        <v>68270664.902343765</v>
      </c>
      <c r="AI513" s="1291">
        <f>SUM(D513:N513)</f>
        <v>682706649.02343762</v>
      </c>
      <c r="AJ513" s="1291">
        <f>SUM(D513:X513)</f>
        <v>1365413298.0468752</v>
      </c>
      <c r="AK513" s="542">
        <f>SUM(D513:AH513)</f>
        <v>2048119947.0703127</v>
      </c>
    </row>
    <row r="514" spans="1:37" x14ac:dyDescent="0.2">
      <c r="A514" s="505" t="s">
        <v>250</v>
      </c>
      <c r="B514" s="478"/>
      <c r="C514" s="465" t="s">
        <v>37</v>
      </c>
      <c r="D514" s="507">
        <f t="shared" ref="D514:AH514" si="302">D12</f>
        <v>0</v>
      </c>
      <c r="E514" s="507">
        <f t="shared" si="302"/>
        <v>0</v>
      </c>
      <c r="F514" s="507">
        <f t="shared" si="302"/>
        <v>0</v>
      </c>
      <c r="G514" s="507">
        <f t="shared" si="302"/>
        <v>0</v>
      </c>
      <c r="H514" s="507">
        <f t="shared" si="302"/>
        <v>0</v>
      </c>
      <c r="I514" s="507">
        <f t="shared" si="302"/>
        <v>0</v>
      </c>
      <c r="J514" s="507">
        <f t="shared" si="302"/>
        <v>0</v>
      </c>
      <c r="K514" s="507">
        <f t="shared" si="302"/>
        <v>0</v>
      </c>
      <c r="L514" s="507">
        <f t="shared" si="302"/>
        <v>0</v>
      </c>
      <c r="M514" s="507">
        <f t="shared" si="302"/>
        <v>0</v>
      </c>
      <c r="N514" s="507">
        <f t="shared" si="302"/>
        <v>0</v>
      </c>
      <c r="O514" s="507">
        <f t="shared" si="302"/>
        <v>0</v>
      </c>
      <c r="P514" s="507">
        <f t="shared" si="302"/>
        <v>0</v>
      </c>
      <c r="Q514" s="507">
        <f t="shared" si="302"/>
        <v>0</v>
      </c>
      <c r="R514" s="507">
        <f t="shared" si="302"/>
        <v>0</v>
      </c>
      <c r="S514" s="507">
        <f t="shared" si="302"/>
        <v>0</v>
      </c>
      <c r="T514" s="507">
        <f t="shared" si="302"/>
        <v>0</v>
      </c>
      <c r="U514" s="507">
        <f t="shared" si="302"/>
        <v>0</v>
      </c>
      <c r="V514" s="507">
        <f t="shared" si="302"/>
        <v>0</v>
      </c>
      <c r="W514" s="507">
        <f t="shared" si="302"/>
        <v>0</v>
      </c>
      <c r="X514" s="507">
        <f t="shared" si="302"/>
        <v>0</v>
      </c>
      <c r="Y514" s="507">
        <f t="shared" si="302"/>
        <v>0</v>
      </c>
      <c r="Z514" s="507">
        <f t="shared" si="302"/>
        <v>0</v>
      </c>
      <c r="AA514" s="507">
        <f t="shared" si="302"/>
        <v>0</v>
      </c>
      <c r="AB514" s="507">
        <f t="shared" si="302"/>
        <v>0</v>
      </c>
      <c r="AC514" s="507">
        <f t="shared" si="302"/>
        <v>0</v>
      </c>
      <c r="AD514" s="507">
        <f t="shared" si="302"/>
        <v>0</v>
      </c>
      <c r="AE514" s="507">
        <f t="shared" si="302"/>
        <v>0</v>
      </c>
      <c r="AF514" s="507">
        <f t="shared" si="302"/>
        <v>0</v>
      </c>
      <c r="AG514" s="507">
        <f t="shared" si="302"/>
        <v>0</v>
      </c>
      <c r="AH514" s="507">
        <f t="shared" si="302"/>
        <v>0</v>
      </c>
      <c r="AI514" s="535">
        <f t="shared" ref="AI514:AI518" si="303">SUM(D514:N514)</f>
        <v>0</v>
      </c>
      <c r="AJ514" s="535">
        <f t="shared" ref="AJ514:AJ518" si="304">SUM(D514:X514)</f>
        <v>0</v>
      </c>
      <c r="AK514" s="538">
        <f t="shared" ref="AK514:AK518" si="305">SUM(D514:AH514)</f>
        <v>0</v>
      </c>
    </row>
    <row r="515" spans="1:37" x14ac:dyDescent="0.2">
      <c r="A515" s="505" t="s">
        <v>1075</v>
      </c>
      <c r="B515" s="478"/>
      <c r="C515" s="465" t="s">
        <v>1076</v>
      </c>
      <c r="D515" s="507">
        <f>D16</f>
        <v>0</v>
      </c>
      <c r="E515" s="507">
        <f t="shared" ref="E515:AH515" si="306">E16</f>
        <v>330000</v>
      </c>
      <c r="F515" s="507">
        <f t="shared" si="306"/>
        <v>330000</v>
      </c>
      <c r="G515" s="507">
        <f t="shared" si="306"/>
        <v>330000</v>
      </c>
      <c r="H515" s="507">
        <f t="shared" si="306"/>
        <v>330000</v>
      </c>
      <c r="I515" s="507">
        <f t="shared" si="306"/>
        <v>330000</v>
      </c>
      <c r="J515" s="507">
        <f t="shared" si="306"/>
        <v>330000</v>
      </c>
      <c r="K515" s="507">
        <f t="shared" si="306"/>
        <v>330000</v>
      </c>
      <c r="L515" s="507">
        <f t="shared" si="306"/>
        <v>330000</v>
      </c>
      <c r="M515" s="507">
        <f t="shared" si="306"/>
        <v>330000</v>
      </c>
      <c r="N515" s="507">
        <f t="shared" si="306"/>
        <v>330000</v>
      </c>
      <c r="O515" s="507">
        <f t="shared" si="306"/>
        <v>330000</v>
      </c>
      <c r="P515" s="507">
        <f t="shared" si="306"/>
        <v>330000</v>
      </c>
      <c r="Q515" s="507">
        <f t="shared" si="306"/>
        <v>330000</v>
      </c>
      <c r="R515" s="507">
        <f t="shared" si="306"/>
        <v>330000</v>
      </c>
      <c r="S515" s="507">
        <f t="shared" si="306"/>
        <v>330000</v>
      </c>
      <c r="T515" s="507">
        <f t="shared" si="306"/>
        <v>330000</v>
      </c>
      <c r="U515" s="507">
        <f t="shared" si="306"/>
        <v>330000</v>
      </c>
      <c r="V515" s="507">
        <f t="shared" si="306"/>
        <v>330000</v>
      </c>
      <c r="W515" s="507">
        <f t="shared" si="306"/>
        <v>330000</v>
      </c>
      <c r="X515" s="507">
        <f t="shared" si="306"/>
        <v>330000</v>
      </c>
      <c r="Y515" s="507">
        <f t="shared" si="306"/>
        <v>330000</v>
      </c>
      <c r="Z515" s="507">
        <f t="shared" si="306"/>
        <v>330000</v>
      </c>
      <c r="AA515" s="507">
        <f t="shared" si="306"/>
        <v>330000</v>
      </c>
      <c r="AB515" s="507">
        <f t="shared" si="306"/>
        <v>330000</v>
      </c>
      <c r="AC515" s="507">
        <f t="shared" si="306"/>
        <v>330000</v>
      </c>
      <c r="AD515" s="507">
        <f t="shared" si="306"/>
        <v>330000</v>
      </c>
      <c r="AE515" s="507">
        <f t="shared" si="306"/>
        <v>330000</v>
      </c>
      <c r="AF515" s="507">
        <f t="shared" si="306"/>
        <v>330000</v>
      </c>
      <c r="AG515" s="507">
        <f t="shared" si="306"/>
        <v>330000</v>
      </c>
      <c r="AH515" s="507">
        <f t="shared" si="306"/>
        <v>330000</v>
      </c>
      <c r="AI515" s="1291">
        <f>SUM(D515:N515)</f>
        <v>3300000</v>
      </c>
      <c r="AJ515" s="1291">
        <f>SUM(D515:X515)</f>
        <v>6600000</v>
      </c>
      <c r="AK515" s="542">
        <f>SUM(D515:AH515)</f>
        <v>9900000</v>
      </c>
    </row>
    <row r="516" spans="1:37" x14ac:dyDescent="0.2">
      <c r="A516" s="505" t="s">
        <v>360</v>
      </c>
      <c r="B516" s="478"/>
      <c r="C516" s="465" t="s">
        <v>37</v>
      </c>
      <c r="D516" s="507">
        <f t="shared" ref="D516:AH516" si="307">IF(D414&lt;0,-D414,0)</f>
        <v>0</v>
      </c>
      <c r="E516" s="507">
        <f t="shared" si="307"/>
        <v>231000000</v>
      </c>
      <c r="F516" s="507">
        <f t="shared" si="307"/>
        <v>231000000</v>
      </c>
      <c r="G516" s="507">
        <f t="shared" si="307"/>
        <v>231000000</v>
      </c>
      <c r="H516" s="507">
        <f t="shared" si="307"/>
        <v>231000000</v>
      </c>
      <c r="I516" s="507">
        <f t="shared" si="307"/>
        <v>231000000</v>
      </c>
      <c r="J516" s="507">
        <f t="shared" si="307"/>
        <v>231000000</v>
      </c>
      <c r="K516" s="507">
        <f t="shared" si="307"/>
        <v>231000000</v>
      </c>
      <c r="L516" s="507">
        <f t="shared" si="307"/>
        <v>231000000</v>
      </c>
      <c r="M516" s="507">
        <f t="shared" si="307"/>
        <v>231000000</v>
      </c>
      <c r="N516" s="507">
        <f t="shared" si="307"/>
        <v>231000000</v>
      </c>
      <c r="O516" s="507">
        <f t="shared" si="307"/>
        <v>231000000</v>
      </c>
      <c r="P516" s="507">
        <f t="shared" si="307"/>
        <v>231000000</v>
      </c>
      <c r="Q516" s="507">
        <f t="shared" si="307"/>
        <v>231000000</v>
      </c>
      <c r="R516" s="507">
        <f t="shared" si="307"/>
        <v>231000000</v>
      </c>
      <c r="S516" s="507">
        <f t="shared" si="307"/>
        <v>231000000</v>
      </c>
      <c r="T516" s="507">
        <f t="shared" si="307"/>
        <v>231000000</v>
      </c>
      <c r="U516" s="507">
        <f t="shared" si="307"/>
        <v>231000000</v>
      </c>
      <c r="V516" s="507">
        <f t="shared" si="307"/>
        <v>231000000</v>
      </c>
      <c r="W516" s="507">
        <f t="shared" si="307"/>
        <v>231000000</v>
      </c>
      <c r="X516" s="507">
        <f t="shared" si="307"/>
        <v>231000000</v>
      </c>
      <c r="Y516" s="507">
        <f t="shared" si="307"/>
        <v>231000000</v>
      </c>
      <c r="Z516" s="507">
        <f t="shared" si="307"/>
        <v>231000000</v>
      </c>
      <c r="AA516" s="507">
        <f t="shared" si="307"/>
        <v>231000000</v>
      </c>
      <c r="AB516" s="507">
        <f t="shared" si="307"/>
        <v>231000000</v>
      </c>
      <c r="AC516" s="507">
        <f t="shared" si="307"/>
        <v>231000000</v>
      </c>
      <c r="AD516" s="507">
        <f t="shared" si="307"/>
        <v>231000000</v>
      </c>
      <c r="AE516" s="507">
        <f t="shared" si="307"/>
        <v>231000000</v>
      </c>
      <c r="AF516" s="507">
        <f t="shared" si="307"/>
        <v>231000000</v>
      </c>
      <c r="AG516" s="507">
        <f t="shared" si="307"/>
        <v>231000000</v>
      </c>
      <c r="AH516" s="507">
        <f t="shared" si="307"/>
        <v>231000000</v>
      </c>
      <c r="AI516" s="535">
        <f>SUM(D516:N516)</f>
        <v>2310000000</v>
      </c>
      <c r="AJ516" s="535">
        <f>SUM(D516:X516)</f>
        <v>4620000000</v>
      </c>
      <c r="AK516" s="538">
        <f>SUM(D516:AH516)</f>
        <v>6930000000</v>
      </c>
    </row>
    <row r="517" spans="1:37" s="1271" customFormat="1" x14ac:dyDescent="0.2">
      <c r="A517" s="1257" t="s">
        <v>1051</v>
      </c>
      <c r="B517" s="1292"/>
      <c r="C517" s="1268" t="s">
        <v>37</v>
      </c>
      <c r="D517" s="1269">
        <f>-SUMIF($A$395:$A$479,$A$517,D$395:D$479)+IF(D414&gt;0,SUM(D396,D414,D432)*0.1,SUM(D396,D432)*0.1)</f>
        <v>-1395921333.7531669</v>
      </c>
      <c r="E517" s="1269">
        <f>-SUMIF($A$395:$A$479,$A$517,E$395:E$479)+IF(E414&gt;0,SUM(E396,E414,E432)*0.1,SUM(E396,E432)*0.1)</f>
        <v>-121527000.39446668</v>
      </c>
      <c r="F517" s="1269">
        <f t="shared" ref="F517:AH517" si="308">-SUMIF($A$395:$A$479,$A$517,F$395:F$479)+IF(F414&gt;0,SUM(F396,F414,F432)*0.1,SUM(F396,F432)*0.1)</f>
        <v>-121331367.0894222</v>
      </c>
      <c r="G517" s="1269">
        <f t="shared" si="308"/>
        <v>-121135733.78437772</v>
      </c>
      <c r="H517" s="1269">
        <f t="shared" si="308"/>
        <v>-120940100.47933324</v>
      </c>
      <c r="I517" s="1269">
        <f t="shared" si="308"/>
        <v>-120744467.17428875</v>
      </c>
      <c r="J517" s="1269">
        <f t="shared" si="308"/>
        <v>-120548833.86924426</v>
      </c>
      <c r="K517" s="1269">
        <f t="shared" si="308"/>
        <v>-120353200.56419978</v>
      </c>
      <c r="L517" s="1269">
        <f t="shared" si="308"/>
        <v>-120157567.2591553</v>
      </c>
      <c r="M517" s="1269">
        <f t="shared" si="308"/>
        <v>-119961933.95411082</v>
      </c>
      <c r="N517" s="1269">
        <f t="shared" si="308"/>
        <v>-119766300.64906633</v>
      </c>
      <c r="O517" s="1269">
        <f t="shared" si="308"/>
        <v>-119570667.34402184</v>
      </c>
      <c r="P517" s="1269">
        <f t="shared" si="308"/>
        <v>-119375034.03897735</v>
      </c>
      <c r="Q517" s="1269">
        <f t="shared" si="308"/>
        <v>-119179400.73393287</v>
      </c>
      <c r="R517" s="1269">
        <f t="shared" si="308"/>
        <v>-118983767.4288884</v>
      </c>
      <c r="S517" s="1269">
        <f t="shared" si="308"/>
        <v>-118788134.12384391</v>
      </c>
      <c r="T517" s="1269">
        <f t="shared" si="308"/>
        <v>-118592500.81879942</v>
      </c>
      <c r="U517" s="1269">
        <f t="shared" si="308"/>
        <v>-118396867.51375493</v>
      </c>
      <c r="V517" s="1269">
        <f t="shared" si="308"/>
        <v>-118201234.20871045</v>
      </c>
      <c r="W517" s="1269">
        <f t="shared" si="308"/>
        <v>-118005600.90366597</v>
      </c>
      <c r="X517" s="1269">
        <f t="shared" si="308"/>
        <v>-117809967.59862149</v>
      </c>
      <c r="Y517" s="1269">
        <f t="shared" si="308"/>
        <v>-117614334.293577</v>
      </c>
      <c r="Z517" s="1269">
        <f t="shared" si="308"/>
        <v>-117614334.293577</v>
      </c>
      <c r="AA517" s="1269">
        <f t="shared" si="308"/>
        <v>-117614334.293577</v>
      </c>
      <c r="AB517" s="1269">
        <f t="shared" si="308"/>
        <v>-117614334.293577</v>
      </c>
      <c r="AC517" s="1269">
        <f t="shared" si="308"/>
        <v>-117614334.293577</v>
      </c>
      <c r="AD517" s="1269">
        <f t="shared" si="308"/>
        <v>-117614334.293577</v>
      </c>
      <c r="AE517" s="1269">
        <f t="shared" si="308"/>
        <v>-117614334.293577</v>
      </c>
      <c r="AF517" s="1269">
        <f t="shared" si="308"/>
        <v>-117614334.293577</v>
      </c>
      <c r="AG517" s="1269">
        <f t="shared" si="308"/>
        <v>-117614334.293577</v>
      </c>
      <c r="AH517" s="1269">
        <f t="shared" si="308"/>
        <v>-117614334.293577</v>
      </c>
      <c r="AI517" s="1277">
        <f t="shared" ref="AI517:AK517" si="309">-SUMIF($A$395:$A$479,$A$517,AI$395:AI$479)</f>
        <v>-2882026453.6549177</v>
      </c>
      <c r="AJ517" s="1277">
        <f t="shared" si="309"/>
        <v>-4192199265.2488303</v>
      </c>
      <c r="AK517" s="1293">
        <f t="shared" si="309"/>
        <v>-5491612245.0652962</v>
      </c>
    </row>
    <row r="518" spans="1:37" x14ac:dyDescent="0.2">
      <c r="A518" s="518" t="s">
        <v>351</v>
      </c>
      <c r="B518" s="519"/>
      <c r="C518" s="465" t="s">
        <v>37</v>
      </c>
      <c r="D518" s="507">
        <f>-D504</f>
        <v>0</v>
      </c>
      <c r="E518" s="507">
        <f>-E504</f>
        <v>-50000000</v>
      </c>
      <c r="F518" s="507">
        <f t="shared" ref="F518:AH518" si="310">-F504</f>
        <v>-50000000</v>
      </c>
      <c r="G518" s="507">
        <f t="shared" si="310"/>
        <v>0</v>
      </c>
      <c r="H518" s="507">
        <f t="shared" si="310"/>
        <v>-50000000</v>
      </c>
      <c r="I518" s="507">
        <f t="shared" si="310"/>
        <v>-50000000</v>
      </c>
      <c r="J518" s="507">
        <f t="shared" si="310"/>
        <v>-50000000</v>
      </c>
      <c r="K518" s="507">
        <f t="shared" si="310"/>
        <v>-50000000</v>
      </c>
      <c r="L518" s="507">
        <f t="shared" si="310"/>
        <v>-50000000</v>
      </c>
      <c r="M518" s="507">
        <f t="shared" si="310"/>
        <v>-50000000</v>
      </c>
      <c r="N518" s="507">
        <f t="shared" si="310"/>
        <v>-50000000</v>
      </c>
      <c r="O518" s="507">
        <f t="shared" si="310"/>
        <v>-50000000</v>
      </c>
      <c r="P518" s="507">
        <f t="shared" si="310"/>
        <v>-50000000</v>
      </c>
      <c r="Q518" s="507">
        <f t="shared" si="310"/>
        <v>-50000000</v>
      </c>
      <c r="R518" s="507">
        <f t="shared" si="310"/>
        <v>-50000000</v>
      </c>
      <c r="S518" s="507">
        <f t="shared" si="310"/>
        <v>-50000000</v>
      </c>
      <c r="T518" s="507">
        <f t="shared" si="310"/>
        <v>-50000000</v>
      </c>
      <c r="U518" s="507">
        <f t="shared" si="310"/>
        <v>-50000000</v>
      </c>
      <c r="V518" s="507">
        <f t="shared" si="310"/>
        <v>-50000000</v>
      </c>
      <c r="W518" s="507">
        <f t="shared" si="310"/>
        <v>-50000000</v>
      </c>
      <c r="X518" s="507">
        <f t="shared" si="310"/>
        <v>-50000000</v>
      </c>
      <c r="Y518" s="507">
        <f t="shared" si="310"/>
        <v>0</v>
      </c>
      <c r="Z518" s="507">
        <f t="shared" si="310"/>
        <v>0</v>
      </c>
      <c r="AA518" s="507">
        <f t="shared" si="310"/>
        <v>0</v>
      </c>
      <c r="AB518" s="507">
        <f t="shared" si="310"/>
        <v>0</v>
      </c>
      <c r="AC518" s="507">
        <f t="shared" si="310"/>
        <v>0</v>
      </c>
      <c r="AD518" s="507">
        <f t="shared" si="310"/>
        <v>0</v>
      </c>
      <c r="AE518" s="507">
        <f t="shared" si="310"/>
        <v>0</v>
      </c>
      <c r="AF518" s="507">
        <f t="shared" si="310"/>
        <v>0</v>
      </c>
      <c r="AG518" s="507">
        <f t="shared" si="310"/>
        <v>0</v>
      </c>
      <c r="AH518" s="507">
        <f t="shared" si="310"/>
        <v>0</v>
      </c>
      <c r="AI518" s="535">
        <f t="shared" si="303"/>
        <v>-450000000</v>
      </c>
      <c r="AJ518" s="535">
        <f t="shared" si="304"/>
        <v>-950000000</v>
      </c>
      <c r="AK518" s="538">
        <f t="shared" si="305"/>
        <v>-950000000</v>
      </c>
    </row>
    <row r="519" spans="1:37" s="1271" customFormat="1" x14ac:dyDescent="0.2">
      <c r="A519" s="1294" t="s">
        <v>1059</v>
      </c>
      <c r="B519" s="1292"/>
      <c r="C519" s="1268" t="s">
        <v>37</v>
      </c>
      <c r="D519" s="1269">
        <f>-D496</f>
        <v>0</v>
      </c>
      <c r="E519" s="1269">
        <f>-E496</f>
        <v>-5515384.1114248484</v>
      </c>
      <c r="F519" s="1269">
        <f t="shared" ref="F519:AK519" si="311">-F496</f>
        <v>-5590384.1114248484</v>
      </c>
      <c r="G519" s="1269">
        <f t="shared" si="311"/>
        <v>-5665384.1114248484</v>
      </c>
      <c r="H519" s="1269">
        <f t="shared" si="311"/>
        <v>-5740384.1114248484</v>
      </c>
      <c r="I519" s="1269">
        <f t="shared" si="311"/>
        <v>-5815384.1114248484</v>
      </c>
      <c r="J519" s="1269">
        <f t="shared" si="311"/>
        <v>-5890384.1114248484</v>
      </c>
      <c r="K519" s="1269">
        <f t="shared" si="311"/>
        <v>-5965384.1114248484</v>
      </c>
      <c r="L519" s="1269">
        <f t="shared" si="311"/>
        <v>-6040384.1114248484</v>
      </c>
      <c r="M519" s="1269">
        <f t="shared" si="311"/>
        <v>-6115384.1114248484</v>
      </c>
      <c r="N519" s="1269">
        <f t="shared" si="311"/>
        <v>-6190384.1114248484</v>
      </c>
      <c r="O519" s="1269">
        <f t="shared" si="311"/>
        <v>-6265384.1114248484</v>
      </c>
      <c r="P519" s="1269">
        <f t="shared" si="311"/>
        <v>-6340384.1114248484</v>
      </c>
      <c r="Q519" s="1269">
        <f t="shared" si="311"/>
        <v>-6415384.1114248484</v>
      </c>
      <c r="R519" s="1269">
        <f t="shared" si="311"/>
        <v>-6490384.1114248484</v>
      </c>
      <c r="S519" s="1269">
        <f t="shared" si="311"/>
        <v>-6565384.1114248484</v>
      </c>
      <c r="T519" s="1269">
        <f t="shared" si="311"/>
        <v>-18368057.446679149</v>
      </c>
      <c r="U519" s="1269">
        <f t="shared" si="311"/>
        <v>-18443057.446679149</v>
      </c>
      <c r="V519" s="1269">
        <f t="shared" si="311"/>
        <v>-18518057.446679149</v>
      </c>
      <c r="W519" s="1269">
        <f t="shared" si="311"/>
        <v>-18593057.446679149</v>
      </c>
      <c r="X519" s="1269">
        <f t="shared" si="311"/>
        <v>-18668057.446679149</v>
      </c>
      <c r="Y519" s="1269">
        <f t="shared" si="311"/>
        <v>-18743057.446679149</v>
      </c>
      <c r="Z519" s="1269">
        <f t="shared" si="311"/>
        <v>-18743057.446679149</v>
      </c>
      <c r="AA519" s="1269">
        <f t="shared" si="311"/>
        <v>-18743057.446679149</v>
      </c>
      <c r="AB519" s="1269">
        <f t="shared" si="311"/>
        <v>-18743057.446679149</v>
      </c>
      <c r="AC519" s="1269">
        <f t="shared" si="311"/>
        <v>-18743057.446679149</v>
      </c>
      <c r="AD519" s="1269">
        <f t="shared" si="311"/>
        <v>-18743057.446679149</v>
      </c>
      <c r="AE519" s="1269">
        <f t="shared" si="311"/>
        <v>-18743057.446679149</v>
      </c>
      <c r="AF519" s="1269">
        <f t="shared" si="311"/>
        <v>-18743057.446679149</v>
      </c>
      <c r="AG519" s="1269">
        <f t="shared" si="311"/>
        <v>-18743057.446679149</v>
      </c>
      <c r="AH519" s="1269">
        <f t="shared" si="311"/>
        <v>-18743057.446679149</v>
      </c>
      <c r="AI519" s="1277">
        <f t="shared" si="311"/>
        <v>-58528841.114248484</v>
      </c>
      <c r="AJ519" s="1277">
        <f t="shared" si="311"/>
        <v>-183196048.90476847</v>
      </c>
      <c r="AK519" s="1293">
        <f t="shared" si="311"/>
        <v>-370626623.37156004</v>
      </c>
    </row>
    <row r="520" spans="1:37" ht="11.5" thickBot="1" x14ac:dyDescent="0.25">
      <c r="A520" s="1294" t="s">
        <v>1060</v>
      </c>
      <c r="B520" s="519"/>
      <c r="C520" s="1268" t="s">
        <v>37</v>
      </c>
      <c r="D520" s="507">
        <v>0</v>
      </c>
      <c r="E520" s="507">
        <f>-E507*入門編_計算シート!$E$153/(入門編_計算シート!$E$153+入門編_計算シート!$E$154)</f>
        <v>-22790750.693668075</v>
      </c>
      <c r="F520" s="507">
        <f>-F507*入門編_計算シート!$E$153/(入門編_計算シート!$E$153+入門編_計算シート!$E$154)</f>
        <v>-23612112.229552917</v>
      </c>
      <c r="G520" s="507">
        <f>-G507*入門編_計算シート!$E$153/(入門編_計算シート!$E$153+入門編_計算シート!$E$154)</f>
        <v>-49433473.765437759</v>
      </c>
      <c r="H520" s="507">
        <f>-H507*入門編_計算シート!$E$153/(入門編_計算シート!$E$153+入門編_計算シート!$E$154)</f>
        <v>-25254835.301322602</v>
      </c>
      <c r="I520" s="507">
        <f>-I507*入門編_計算シート!$E$153/(入門編_計算シート!$E$153+入門編_計算シート!$E$154)</f>
        <v>-26076196.837207444</v>
      </c>
      <c r="J520" s="507">
        <f>-J507*入門編_計算シート!$E$153/(入門編_計算シート!$E$153+入門編_計算シート!$E$154)</f>
        <v>-26897558.373092286</v>
      </c>
      <c r="K520" s="507">
        <f>-K507*入門編_計算シート!$E$153/(入門編_計算シート!$E$153+入門編_計算シート!$E$154)</f>
        <v>-27718919.908977129</v>
      </c>
      <c r="L520" s="507">
        <f>-L507*入門編_計算シート!$E$153/(入門編_計算シート!$E$153+入門編_計算シート!$E$154)</f>
        <v>-28540281.444861971</v>
      </c>
      <c r="M520" s="507">
        <f>-M507*入門編_計算シート!$E$153/(入門編_計算シート!$E$153+入門編_計算シート!$E$154)</f>
        <v>-29361642.980746806</v>
      </c>
      <c r="N520" s="507">
        <f>-N507*入門編_計算シート!$E$153/(入門編_計算シート!$E$153+入門編_計算シート!$E$154)</f>
        <v>-30183004.516631648</v>
      </c>
      <c r="O520" s="507">
        <f>-O507*入門編_計算シート!$E$153/(入門編_計算シート!$E$153+入門編_計算シート!$E$154)</f>
        <v>-31004366.05251649</v>
      </c>
      <c r="P520" s="507">
        <f>-P507*入門編_計算シート!$E$153/(入門編_計算シート!$E$153+入門編_計算シート!$E$154)</f>
        <v>-31825727.588401332</v>
      </c>
      <c r="Q520" s="507">
        <f>-Q507*入門編_計算シート!$E$153/(入門編_計算シート!$E$153+入門編_計算シート!$E$154)</f>
        <v>-32647089.124286182</v>
      </c>
      <c r="R520" s="507">
        <f>-R507*入門編_計算シート!$E$153/(入門編_計算シート!$E$153+入門編_計算シート!$E$154)</f>
        <v>-33468450.660171025</v>
      </c>
      <c r="S520" s="507">
        <f>-S507*入門編_計算シート!$E$153/(入門編_計算シート!$E$153+入門編_計算シート!$E$154)</f>
        <v>-34289812.196055867</v>
      </c>
      <c r="T520" s="507">
        <f>-T507*入門編_計算シート!$E$153/(入門編_計算シート!$E$153+入門編_計算シート!$E$154)</f>
        <v>-27614545.383343741</v>
      </c>
      <c r="U520" s="507">
        <f>-U507*入門編_計算シート!$E$153/(入門編_計算シート!$E$153+入門編_計算シート!$E$154)</f>
        <v>-27888615.496916719</v>
      </c>
      <c r="V520" s="507">
        <f>-V507*入門編_計算シート!$E$153/(入門編_計算シート!$E$153+入門編_計算シート!$E$154)</f>
        <v>-28162685.610489696</v>
      </c>
      <c r="W520" s="507">
        <f>-W507*入門編_計算シート!$E$153/(入門編_計算シート!$E$153+入門編_計算シート!$E$154)</f>
        <v>-28436755.724062674</v>
      </c>
      <c r="X520" s="507">
        <f>-X507*入門編_計算シート!$E$153/(入門編_計算シート!$E$153+入門編_計算シート!$E$154)</f>
        <v>-28710825.837635651</v>
      </c>
      <c r="Y520" s="507">
        <f>-Y507*入門編_計算シート!$E$153/(入門編_計算シート!$E$153+入門編_計算シート!$E$154)</f>
        <v>-53984895.951208621</v>
      </c>
      <c r="Z520" s="507">
        <f>-Z507*入門編_計算シート!$E$153/(入門編_計算シート!$E$153+入門編_計算シート!$E$154)</f>
        <v>-54056907.980460182</v>
      </c>
      <c r="AA520" s="507">
        <f>-AA507*入門編_計算シート!$E$153/(入門編_計算シート!$E$153+入門編_計算シート!$E$154)</f>
        <v>-54128920.009711742</v>
      </c>
      <c r="AB520" s="507">
        <f>-AB507*入門編_計算シート!$E$153/(入門編_計算シート!$E$153+入門編_計算シート!$E$154)</f>
        <v>-54200932.038963303</v>
      </c>
      <c r="AC520" s="507">
        <f>-AC507*入門編_計算シート!$E$153/(入門編_計算シート!$E$153+入門編_計算シート!$E$154)</f>
        <v>-54272944.068214864</v>
      </c>
      <c r="AD520" s="507">
        <f>-AD507*入門編_計算シート!$E$153/(入門編_計算シート!$E$153+入門編_計算シート!$E$154)</f>
        <v>-54344956.097466424</v>
      </c>
      <c r="AE520" s="507">
        <f>-AE507*入門編_計算シート!$E$153/(入門編_計算シート!$E$153+入門編_計算シート!$E$154)</f>
        <v>-54416968.126717985</v>
      </c>
      <c r="AF520" s="507">
        <f>-AF507*入門編_計算シート!$E$153/(入門編_計算シート!$E$153+入門編_計算シート!$E$154)</f>
        <v>-54488980.155969545</v>
      </c>
      <c r="AG520" s="507">
        <f>-AG507*入門編_計算シート!$E$153/(入門編_計算シート!$E$153+入門編_計算シート!$E$154)</f>
        <v>-54560992.185221106</v>
      </c>
      <c r="AH520" s="507">
        <f>-AH507*入門編_計算シート!$E$153/(入門編_計算シート!$E$153+入門編_計算シート!$E$154)</f>
        <v>-54633004.214472674</v>
      </c>
      <c r="AI520" s="536">
        <f t="shared" ref="AI520" si="312">SUM(D520:N520)</f>
        <v>-289868776.05149865</v>
      </c>
      <c r="AJ520" s="536">
        <f t="shared" ref="AJ520" si="313">SUM(D520:X520)</f>
        <v>-593917649.72537804</v>
      </c>
      <c r="AK520" s="540">
        <f t="shared" ref="AK520" si="314">SUM(D520:AH520)</f>
        <v>-1137007150.5537846</v>
      </c>
    </row>
    <row r="521" spans="1:37" ht="11.5" thickBot="1" x14ac:dyDescent="0.25">
      <c r="A521" s="505" t="s">
        <v>228</v>
      </c>
      <c r="B521" s="478"/>
      <c r="C521" s="465" t="s">
        <v>37</v>
      </c>
      <c r="D521" s="507">
        <f>SUMIF($B$395:$B$479,"消費税（市町村）",D$395:D$479)+SUMIF($B$395:$B$479,"消費税（都道府県）",D$395:D$479)</f>
        <v>10750367.223983109</v>
      </c>
      <c r="E521" s="1272">
        <f>SUMIF($B$395:$B$479,"消費税（市町村）",E$395:E$479)+SUMIF($B$395:$B$479,"消費税（都道府県）",E$395:E$479)</f>
        <v>1220369.4051188782</v>
      </c>
      <c r="F521" s="507">
        <f t="shared" ref="F521:AH521" si="315">SUMIF($B$395:$B$479,"消費税（市町村）",F$395:F$479)+SUMIF($B$395:$B$479,"消費税（都道府県）",F$395:F$479)</f>
        <v>1220369.4051188782</v>
      </c>
      <c r="G521" s="507">
        <f t="shared" si="315"/>
        <v>1220369.4051188782</v>
      </c>
      <c r="H521" s="507">
        <f t="shared" si="315"/>
        <v>1220369.4051188782</v>
      </c>
      <c r="I521" s="507">
        <f t="shared" si="315"/>
        <v>1220369.4051188782</v>
      </c>
      <c r="J521" s="507">
        <f t="shared" si="315"/>
        <v>1220369.4051188782</v>
      </c>
      <c r="K521" s="507">
        <f t="shared" si="315"/>
        <v>1220369.4051188782</v>
      </c>
      <c r="L521" s="507">
        <f t="shared" si="315"/>
        <v>1220369.4051188782</v>
      </c>
      <c r="M521" s="507">
        <f t="shared" si="315"/>
        <v>1220369.4051188782</v>
      </c>
      <c r="N521" s="507">
        <f t="shared" si="315"/>
        <v>1220369.4051188782</v>
      </c>
      <c r="O521" s="507">
        <f t="shared" si="315"/>
        <v>1220369.4051188782</v>
      </c>
      <c r="P521" s="507">
        <f t="shared" si="315"/>
        <v>1220369.4051188782</v>
      </c>
      <c r="Q521" s="507">
        <f t="shared" si="315"/>
        <v>1220369.4051188782</v>
      </c>
      <c r="R521" s="507">
        <f t="shared" si="315"/>
        <v>1220369.4051188782</v>
      </c>
      <c r="S521" s="507">
        <f t="shared" si="315"/>
        <v>1220369.4051188782</v>
      </c>
      <c r="T521" s="507">
        <f t="shared" si="315"/>
        <v>1220369.4051188782</v>
      </c>
      <c r="U521" s="507">
        <f t="shared" si="315"/>
        <v>1220369.4051188782</v>
      </c>
      <c r="V521" s="507">
        <f t="shared" si="315"/>
        <v>1220369.4051188782</v>
      </c>
      <c r="W521" s="507">
        <f t="shared" si="315"/>
        <v>1220369.4051188782</v>
      </c>
      <c r="X521" s="507">
        <f t="shared" si="315"/>
        <v>1220369.4051188782</v>
      </c>
      <c r="Y521" s="507">
        <f t="shared" si="315"/>
        <v>1220369.4051188782</v>
      </c>
      <c r="Z521" s="507">
        <f t="shared" si="315"/>
        <v>1220369.4051188782</v>
      </c>
      <c r="AA521" s="507">
        <f t="shared" si="315"/>
        <v>1220369.4051188782</v>
      </c>
      <c r="AB521" s="507">
        <f t="shared" si="315"/>
        <v>1220369.4051188782</v>
      </c>
      <c r="AC521" s="507">
        <f t="shared" si="315"/>
        <v>1220369.4051188782</v>
      </c>
      <c r="AD521" s="507">
        <f t="shared" si="315"/>
        <v>1220369.4051188782</v>
      </c>
      <c r="AE521" s="507">
        <f t="shared" si="315"/>
        <v>1220369.4051188782</v>
      </c>
      <c r="AF521" s="507">
        <f t="shared" si="315"/>
        <v>1220369.4051188782</v>
      </c>
      <c r="AG521" s="507">
        <f t="shared" si="315"/>
        <v>1220369.4051188782</v>
      </c>
      <c r="AH521" s="507">
        <f t="shared" si="315"/>
        <v>1220369.4051188782</v>
      </c>
      <c r="AI521" s="535">
        <f t="shared" ref="AI521" si="316">SUM(D521:N521)</f>
        <v>22954061.275171898</v>
      </c>
      <c r="AJ521" s="535">
        <f t="shared" ref="AJ521" si="317">SUM(D521:X521)</f>
        <v>35157755.32636068</v>
      </c>
      <c r="AK521" s="538">
        <f t="shared" ref="AK521" si="318">SUM(D521:AH521)</f>
        <v>47361449.377549432</v>
      </c>
    </row>
    <row r="522" spans="1:37" ht="11.5" thickBot="1" x14ac:dyDescent="0.25">
      <c r="A522" s="522" t="s">
        <v>298</v>
      </c>
      <c r="B522" s="523"/>
      <c r="C522" s="528"/>
      <c r="D522" s="598">
        <f t="shared" ref="D522:AH522" si="319">SUM(D512:D521)</f>
        <v>178518811.50472313</v>
      </c>
      <c r="E522" s="525">
        <f t="shared" si="319"/>
        <v>100987899.107903</v>
      </c>
      <c r="F522" s="525">
        <f t="shared" si="319"/>
        <v>100287170.87706268</v>
      </c>
      <c r="G522" s="525">
        <f t="shared" si="319"/>
        <v>124586442.64622232</v>
      </c>
      <c r="H522" s="525">
        <f t="shared" si="319"/>
        <v>98885714.415381968</v>
      </c>
      <c r="I522" s="525">
        <f t="shared" si="319"/>
        <v>98184986.184541583</v>
      </c>
      <c r="J522" s="525">
        <f t="shared" si="319"/>
        <v>97484257.953701228</v>
      </c>
      <c r="K522" s="525">
        <f t="shared" si="319"/>
        <v>96783529.722860873</v>
      </c>
      <c r="L522" s="525">
        <f t="shared" si="319"/>
        <v>96082801.492020518</v>
      </c>
      <c r="M522" s="525">
        <f t="shared" si="319"/>
        <v>95382073.261180177</v>
      </c>
      <c r="N522" s="525">
        <f t="shared" si="319"/>
        <v>94681345.030339807</v>
      </c>
      <c r="O522" s="525">
        <f t="shared" si="319"/>
        <v>93980616.799499437</v>
      </c>
      <c r="P522" s="525">
        <f t="shared" si="319"/>
        <v>93279888.568659097</v>
      </c>
      <c r="Q522" s="525">
        <f t="shared" si="319"/>
        <v>92579160.337818742</v>
      </c>
      <c r="R522" s="525">
        <f t="shared" si="319"/>
        <v>91878432.106978387</v>
      </c>
      <c r="S522" s="525">
        <f t="shared" si="319"/>
        <v>91177703.876138002</v>
      </c>
      <c r="T522" s="525">
        <f t="shared" si="319"/>
        <v>86245930.65864031</v>
      </c>
      <c r="U522" s="525">
        <f t="shared" si="319"/>
        <v>86092493.850111842</v>
      </c>
      <c r="V522" s="525">
        <f t="shared" si="319"/>
        <v>85939057.041583359</v>
      </c>
      <c r="W522" s="525">
        <f t="shared" si="319"/>
        <v>85785620.233054847</v>
      </c>
      <c r="X522" s="525">
        <f t="shared" si="319"/>
        <v>85632183.424526349</v>
      </c>
      <c r="Y522" s="525">
        <f t="shared" si="319"/>
        <v>110478746.61599785</v>
      </c>
      <c r="Z522" s="525">
        <f t="shared" si="319"/>
        <v>110406734.58674629</v>
      </c>
      <c r="AA522" s="525">
        <f t="shared" si="319"/>
        <v>110334722.55749473</v>
      </c>
      <c r="AB522" s="525">
        <f t="shared" si="319"/>
        <v>110262710.52824317</v>
      </c>
      <c r="AC522" s="525">
        <f t="shared" si="319"/>
        <v>110190698.49899161</v>
      </c>
      <c r="AD522" s="525">
        <f t="shared" si="319"/>
        <v>110118686.46974005</v>
      </c>
      <c r="AE522" s="525">
        <f t="shared" si="319"/>
        <v>110046674.44048849</v>
      </c>
      <c r="AF522" s="525">
        <f t="shared" si="319"/>
        <v>109974662.41123693</v>
      </c>
      <c r="AG522" s="525">
        <f t="shared" si="319"/>
        <v>109902650.38198537</v>
      </c>
      <c r="AH522" s="525">
        <f t="shared" si="319"/>
        <v>109830638.35273379</v>
      </c>
      <c r="AI522" s="536">
        <f t="shared" ref="AI522:AK522" si="320">SUM(AI513:AI520)</f>
        <v>-684417421.79722738</v>
      </c>
      <c r="AJ522" s="536">
        <f t="shared" si="320"/>
        <v>72700334.167898178</v>
      </c>
      <c r="AK522" s="540">
        <f t="shared" si="320"/>
        <v>1038773928.0796716</v>
      </c>
    </row>
    <row r="523" spans="1:37" x14ac:dyDescent="0.2">
      <c r="A523" s="529"/>
      <c r="B523" s="529"/>
      <c r="C523" s="529"/>
      <c r="D523" s="530"/>
      <c r="E523" s="530">
        <f>E522-E540</f>
        <v>2174667.7982205749</v>
      </c>
      <c r="F523" s="530"/>
      <c r="G523" s="530"/>
      <c r="H523" s="530"/>
      <c r="I523" s="530"/>
      <c r="J523" s="530"/>
      <c r="K523" s="530"/>
      <c r="L523" s="530"/>
      <c r="M523" s="530"/>
      <c r="N523" s="530"/>
      <c r="O523" s="530"/>
      <c r="P523" s="530"/>
      <c r="Q523" s="530"/>
      <c r="R523" s="530"/>
      <c r="S523" s="530"/>
      <c r="T523" s="530"/>
      <c r="U523" s="530"/>
      <c r="V523" s="530"/>
      <c r="W523" s="530"/>
      <c r="X523" s="530"/>
      <c r="Y523" s="530"/>
      <c r="Z523" s="530"/>
      <c r="AA523" s="530"/>
      <c r="AB523" s="530"/>
      <c r="AC523" s="530"/>
      <c r="AD523" s="530"/>
      <c r="AE523" s="530"/>
      <c r="AF523" s="530"/>
      <c r="AG523" s="530"/>
      <c r="AH523" s="530"/>
      <c r="AI523" s="530"/>
      <c r="AJ523" s="530"/>
      <c r="AK523" s="527"/>
    </row>
    <row r="524" spans="1:37" ht="11.5" thickBot="1" x14ac:dyDescent="0.25">
      <c r="A524" s="478" t="s">
        <v>279</v>
      </c>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7"/>
      <c r="AD524" s="527"/>
      <c r="AE524" s="527"/>
      <c r="AF524" s="527"/>
      <c r="AG524" s="527"/>
      <c r="AH524" s="527"/>
      <c r="AK524" s="527"/>
    </row>
    <row r="525" spans="1:37" ht="12" thickBot="1" x14ac:dyDescent="0.3">
      <c r="A525" s="459"/>
      <c r="B525" s="521" t="s">
        <v>274</v>
      </c>
      <c r="C525" s="460"/>
      <c r="D525" s="594">
        <v>0</v>
      </c>
      <c r="E525" s="461">
        <v>1</v>
      </c>
      <c r="F525" s="461">
        <v>2</v>
      </c>
      <c r="G525" s="461">
        <v>3</v>
      </c>
      <c r="H525" s="461">
        <v>4</v>
      </c>
      <c r="I525" s="461">
        <v>5</v>
      </c>
      <c r="J525" s="461">
        <v>6</v>
      </c>
      <c r="K525" s="461">
        <v>7</v>
      </c>
      <c r="L525" s="461">
        <v>8</v>
      </c>
      <c r="M525" s="461">
        <v>9</v>
      </c>
      <c r="N525" s="461">
        <v>10</v>
      </c>
      <c r="O525" s="461">
        <v>11</v>
      </c>
      <c r="P525" s="461">
        <v>12</v>
      </c>
      <c r="Q525" s="461">
        <v>13</v>
      </c>
      <c r="R525" s="461">
        <v>14</v>
      </c>
      <c r="S525" s="461">
        <v>15</v>
      </c>
      <c r="T525" s="461">
        <v>16</v>
      </c>
      <c r="U525" s="461">
        <v>17</v>
      </c>
      <c r="V525" s="461">
        <v>18</v>
      </c>
      <c r="W525" s="461">
        <v>19</v>
      </c>
      <c r="X525" s="462">
        <v>20</v>
      </c>
      <c r="Y525" s="462">
        <v>21</v>
      </c>
      <c r="Z525" s="462">
        <v>22</v>
      </c>
      <c r="AA525" s="462">
        <v>23</v>
      </c>
      <c r="AB525" s="462">
        <v>24</v>
      </c>
      <c r="AC525" s="462">
        <v>25</v>
      </c>
      <c r="AD525" s="462">
        <v>26</v>
      </c>
      <c r="AE525" s="462">
        <v>27</v>
      </c>
      <c r="AF525" s="462">
        <v>28</v>
      </c>
      <c r="AG525" s="462">
        <v>29</v>
      </c>
      <c r="AH525" s="476">
        <v>30</v>
      </c>
      <c r="AI525" s="534" t="s">
        <v>306</v>
      </c>
      <c r="AJ525" s="537" t="s">
        <v>270</v>
      </c>
      <c r="AK525" s="539" t="s">
        <v>271</v>
      </c>
    </row>
    <row r="526" spans="1:37" x14ac:dyDescent="0.2">
      <c r="A526" s="505" t="s">
        <v>1061</v>
      </c>
      <c r="B526" s="478"/>
      <c r="C526" s="465" t="s">
        <v>1050</v>
      </c>
      <c r="D526" s="507">
        <f t="shared" ref="D526:AH526" si="321">SUM(D145:D146)</f>
        <v>0</v>
      </c>
      <c r="E526" s="507">
        <f t="shared" si="321"/>
        <v>0</v>
      </c>
      <c r="F526" s="507">
        <f t="shared" si="321"/>
        <v>0</v>
      </c>
      <c r="G526" s="507">
        <f t="shared" si="321"/>
        <v>0</v>
      </c>
      <c r="H526" s="507">
        <f t="shared" si="321"/>
        <v>0</v>
      </c>
      <c r="I526" s="507">
        <f t="shared" si="321"/>
        <v>0</v>
      </c>
      <c r="J526" s="507">
        <f t="shared" si="321"/>
        <v>0</v>
      </c>
      <c r="K526" s="507">
        <f t="shared" si="321"/>
        <v>0</v>
      </c>
      <c r="L526" s="507">
        <f t="shared" si="321"/>
        <v>0</v>
      </c>
      <c r="M526" s="507">
        <f t="shared" si="321"/>
        <v>0</v>
      </c>
      <c r="N526" s="507">
        <f t="shared" si="321"/>
        <v>0</v>
      </c>
      <c r="O526" s="507">
        <f t="shared" si="321"/>
        <v>0</v>
      </c>
      <c r="P526" s="507">
        <f t="shared" si="321"/>
        <v>0</v>
      </c>
      <c r="Q526" s="507">
        <f t="shared" si="321"/>
        <v>0</v>
      </c>
      <c r="R526" s="507">
        <f t="shared" si="321"/>
        <v>0</v>
      </c>
      <c r="S526" s="507">
        <f t="shared" si="321"/>
        <v>0</v>
      </c>
      <c r="T526" s="507">
        <f t="shared" si="321"/>
        <v>0</v>
      </c>
      <c r="U526" s="507">
        <f t="shared" si="321"/>
        <v>0</v>
      </c>
      <c r="V526" s="507">
        <f t="shared" si="321"/>
        <v>0</v>
      </c>
      <c r="W526" s="507">
        <f t="shared" si="321"/>
        <v>0</v>
      </c>
      <c r="X526" s="507">
        <f t="shared" si="321"/>
        <v>0</v>
      </c>
      <c r="Y526" s="507">
        <f t="shared" si="321"/>
        <v>0</v>
      </c>
      <c r="Z526" s="507">
        <f t="shared" si="321"/>
        <v>0</v>
      </c>
      <c r="AA526" s="507">
        <f t="shared" si="321"/>
        <v>0</v>
      </c>
      <c r="AB526" s="507">
        <f t="shared" si="321"/>
        <v>0</v>
      </c>
      <c r="AC526" s="507">
        <f t="shared" si="321"/>
        <v>0</v>
      </c>
      <c r="AD526" s="507">
        <f t="shared" si="321"/>
        <v>0</v>
      </c>
      <c r="AE526" s="507">
        <f t="shared" si="321"/>
        <v>0</v>
      </c>
      <c r="AF526" s="507">
        <f t="shared" si="321"/>
        <v>0</v>
      </c>
      <c r="AG526" s="507">
        <f t="shared" si="321"/>
        <v>0</v>
      </c>
      <c r="AH526" s="507">
        <f t="shared" si="321"/>
        <v>0</v>
      </c>
      <c r="AI526" s="541">
        <f t="shared" ref="AI526:AI532" si="322">SUM(D526:N526)</f>
        <v>0</v>
      </c>
      <c r="AJ526" s="541">
        <f t="shared" ref="AJ526:AJ532" si="323">SUM(D526:X526)</f>
        <v>0</v>
      </c>
      <c r="AK526" s="542">
        <f t="shared" ref="AK526:AK532" si="324">SUM(D526:AH526)</f>
        <v>0</v>
      </c>
    </row>
    <row r="527" spans="1:37" s="1271" customFormat="1" x14ac:dyDescent="0.2">
      <c r="A527" s="1270" t="s">
        <v>1062</v>
      </c>
      <c r="B527" s="1267"/>
      <c r="C527" s="1268" t="s">
        <v>1050</v>
      </c>
      <c r="D527" s="1269">
        <f t="shared" ref="D527:AH527" si="325">D451+D456</f>
        <v>0</v>
      </c>
      <c r="E527" s="1269">
        <f t="shared" si="325"/>
        <v>25248883.830533568</v>
      </c>
      <c r="F527" s="1269">
        <f t="shared" si="325"/>
        <v>25248883.830533568</v>
      </c>
      <c r="G527" s="1269">
        <f t="shared" si="325"/>
        <v>25248883.830533568</v>
      </c>
      <c r="H527" s="1269">
        <f t="shared" si="325"/>
        <v>25248883.830533568</v>
      </c>
      <c r="I527" s="1269">
        <f t="shared" si="325"/>
        <v>25248883.830533568</v>
      </c>
      <c r="J527" s="1269">
        <f t="shared" si="325"/>
        <v>25248883.830533568</v>
      </c>
      <c r="K527" s="1269">
        <f t="shared" si="325"/>
        <v>25248883.830533568</v>
      </c>
      <c r="L527" s="1269">
        <f t="shared" si="325"/>
        <v>25248883.830533568</v>
      </c>
      <c r="M527" s="1269">
        <f t="shared" si="325"/>
        <v>25248883.830533568</v>
      </c>
      <c r="N527" s="1269">
        <f t="shared" si="325"/>
        <v>25248883.830533568</v>
      </c>
      <c r="O527" s="1269">
        <f t="shared" si="325"/>
        <v>25248883.830533568</v>
      </c>
      <c r="P527" s="1269">
        <f t="shared" si="325"/>
        <v>25248883.830533568</v>
      </c>
      <c r="Q527" s="1269">
        <f t="shared" si="325"/>
        <v>25248883.830533568</v>
      </c>
      <c r="R527" s="1269">
        <f t="shared" si="325"/>
        <v>25248883.830533568</v>
      </c>
      <c r="S527" s="1269">
        <f t="shared" si="325"/>
        <v>25248883.830533568</v>
      </c>
      <c r="T527" s="1269">
        <f t="shared" si="325"/>
        <v>25248883.830533568</v>
      </c>
      <c r="U527" s="1269">
        <f t="shared" si="325"/>
        <v>25248883.830533568</v>
      </c>
      <c r="V527" s="1269">
        <f t="shared" si="325"/>
        <v>25248883.830533568</v>
      </c>
      <c r="W527" s="1269">
        <f t="shared" si="325"/>
        <v>25248883.830533568</v>
      </c>
      <c r="X527" s="1269">
        <f t="shared" si="325"/>
        <v>25248883.830533568</v>
      </c>
      <c r="Y527" s="1269">
        <f t="shared" si="325"/>
        <v>25248883.830533568</v>
      </c>
      <c r="Z527" s="1269">
        <f t="shared" si="325"/>
        <v>25248883.830533568</v>
      </c>
      <c r="AA527" s="1269">
        <f t="shared" si="325"/>
        <v>25248883.830533568</v>
      </c>
      <c r="AB527" s="1269">
        <f t="shared" si="325"/>
        <v>25248883.830533568</v>
      </c>
      <c r="AC527" s="1269">
        <f t="shared" si="325"/>
        <v>25248883.830533568</v>
      </c>
      <c r="AD527" s="1269">
        <f t="shared" si="325"/>
        <v>25248883.830533568</v>
      </c>
      <c r="AE527" s="1269">
        <f t="shared" si="325"/>
        <v>25248883.830533568</v>
      </c>
      <c r="AF527" s="1269">
        <f t="shared" si="325"/>
        <v>25248883.830533568</v>
      </c>
      <c r="AG527" s="1269">
        <f t="shared" si="325"/>
        <v>25248883.830533568</v>
      </c>
      <c r="AH527" s="1269">
        <f t="shared" si="325"/>
        <v>25248883.830533568</v>
      </c>
      <c r="AI527" s="1277">
        <f t="shared" si="322"/>
        <v>252488838.30533567</v>
      </c>
      <c r="AJ527" s="1277">
        <f t="shared" si="323"/>
        <v>504977676.61067134</v>
      </c>
      <c r="AK527" s="1293">
        <f t="shared" si="324"/>
        <v>757466514.91600752</v>
      </c>
    </row>
    <row r="528" spans="1:37" x14ac:dyDescent="0.2">
      <c r="A528" s="505" t="s">
        <v>1063</v>
      </c>
      <c r="B528" s="478"/>
      <c r="C528" s="465" t="s">
        <v>1050</v>
      </c>
      <c r="D528" s="507">
        <f>D507*入門編_計算シート!$E$153/(入門編_計算シート!$E$153+入門編_計算シート!$E$154)</f>
        <v>-781844889.01695347</v>
      </c>
      <c r="E528" s="507">
        <f>E507*入門編_計算シート!$E$153/(入門編_計算シート!$E$153+入門編_計算シート!$E$154)</f>
        <v>22790750.693668075</v>
      </c>
      <c r="F528" s="507">
        <f>F507*入門編_計算シート!$E$153/(入門編_計算シート!$E$153+入門編_計算シート!$E$154)</f>
        <v>23612112.229552917</v>
      </c>
      <c r="G528" s="507">
        <f>G507*入門編_計算シート!$E$153/(入門編_計算シート!$E$153+入門編_計算シート!$E$154)</f>
        <v>49433473.765437759</v>
      </c>
      <c r="H528" s="507">
        <f>H507*入門編_計算シート!$E$153/(入門編_計算シート!$E$153+入門編_計算シート!$E$154)</f>
        <v>25254835.301322602</v>
      </c>
      <c r="I528" s="507">
        <f>I507*入門編_計算シート!$E$153/(入門編_計算シート!$E$153+入門編_計算シート!$E$154)</f>
        <v>26076196.837207444</v>
      </c>
      <c r="J528" s="507">
        <f>J507*入門編_計算シート!$E$153/(入門編_計算シート!$E$153+入門編_計算シート!$E$154)</f>
        <v>26897558.373092286</v>
      </c>
      <c r="K528" s="507">
        <f>K507*入門編_計算シート!$E$153/(入門編_計算シート!$E$153+入門編_計算シート!$E$154)</f>
        <v>27718919.908977129</v>
      </c>
      <c r="L528" s="507">
        <f>L507*入門編_計算シート!$E$153/(入門編_計算シート!$E$153+入門編_計算シート!$E$154)</f>
        <v>28540281.444861971</v>
      </c>
      <c r="M528" s="507">
        <f>M507*入門編_計算シート!$E$153/(入門編_計算シート!$E$153+入門編_計算シート!$E$154)</f>
        <v>29361642.980746806</v>
      </c>
      <c r="N528" s="507">
        <f>N507*入門編_計算シート!$E$153/(入門編_計算シート!$E$153+入門編_計算シート!$E$154)</f>
        <v>30183004.516631648</v>
      </c>
      <c r="O528" s="507">
        <f>O507*入門編_計算シート!$E$153/(入門編_計算シート!$E$153+入門編_計算シート!$E$154)</f>
        <v>31004366.05251649</v>
      </c>
      <c r="P528" s="507">
        <f>P507*入門編_計算シート!$E$153/(入門編_計算シート!$E$153+入門編_計算シート!$E$154)</f>
        <v>31825727.588401332</v>
      </c>
      <c r="Q528" s="507">
        <f>Q507*入門編_計算シート!$E$153/(入門編_計算シート!$E$153+入門編_計算シート!$E$154)</f>
        <v>32647089.124286182</v>
      </c>
      <c r="R528" s="507">
        <f>R507*入門編_計算シート!$E$153/(入門編_計算シート!$E$153+入門編_計算シート!$E$154)</f>
        <v>33468450.660171025</v>
      </c>
      <c r="S528" s="507">
        <f>S507*入門編_計算シート!$E$153/(入門編_計算シート!$E$153+入門編_計算シート!$E$154)</f>
        <v>34289812.196055867</v>
      </c>
      <c r="T528" s="507">
        <f>T507*入門編_計算シート!$E$153/(入門編_計算シート!$E$153+入門編_計算シート!$E$154)</f>
        <v>27614545.383343741</v>
      </c>
      <c r="U528" s="507">
        <f>U507*入門編_計算シート!$E$153/(入門編_計算シート!$E$153+入門編_計算シート!$E$154)</f>
        <v>27888615.496916719</v>
      </c>
      <c r="V528" s="507">
        <f>V507*入門編_計算シート!$E$153/(入門編_計算シート!$E$153+入門編_計算シート!$E$154)</f>
        <v>28162685.610489696</v>
      </c>
      <c r="W528" s="507">
        <f>W507*入門編_計算シート!$E$153/(入門編_計算シート!$E$153+入門編_計算シート!$E$154)</f>
        <v>28436755.724062674</v>
      </c>
      <c r="X528" s="507">
        <f>X507*入門編_計算シート!$E$153/(入門編_計算シート!$E$153+入門編_計算シート!$E$154)</f>
        <v>28710825.837635651</v>
      </c>
      <c r="Y528" s="507">
        <f>Y507*入門編_計算シート!$E$153/(入門編_計算シート!$E$153+入門編_計算シート!$E$154)</f>
        <v>53984895.951208621</v>
      </c>
      <c r="Z528" s="507">
        <f>Z507*入門編_計算シート!$E$153/(入門編_計算シート!$E$153+入門編_計算シート!$E$154)</f>
        <v>54056907.980460182</v>
      </c>
      <c r="AA528" s="507">
        <f>AA507*入門編_計算シート!$E$153/(入門編_計算シート!$E$153+入門編_計算シート!$E$154)</f>
        <v>54128920.009711742</v>
      </c>
      <c r="AB528" s="507">
        <f>AB507*入門編_計算シート!$E$153/(入門編_計算シート!$E$153+入門編_計算シート!$E$154)</f>
        <v>54200932.038963303</v>
      </c>
      <c r="AC528" s="507">
        <f>AC507*入門編_計算シート!$E$153/(入門編_計算シート!$E$153+入門編_計算シート!$E$154)</f>
        <v>54272944.068214864</v>
      </c>
      <c r="AD528" s="507">
        <f>AD507*入門編_計算シート!$E$153/(入門編_計算シート!$E$153+入門編_計算シート!$E$154)</f>
        <v>54344956.097466424</v>
      </c>
      <c r="AE528" s="507">
        <f>AE507*入門編_計算シート!$E$153/(入門編_計算シート!$E$153+入門編_計算シート!$E$154)</f>
        <v>54416968.126717985</v>
      </c>
      <c r="AF528" s="507">
        <f>AF507*入門編_計算シート!$E$153/(入門編_計算シート!$E$153+入門編_計算シート!$E$154)</f>
        <v>54488980.155969545</v>
      </c>
      <c r="AG528" s="507">
        <f>AG507*入門編_計算シート!$E$153/(入門編_計算シート!$E$153+入門編_計算シート!$E$154)</f>
        <v>54560992.185221106</v>
      </c>
      <c r="AH528" s="507">
        <f>AH507*入門編_計算シート!$E$153/(入門編_計算シート!$E$153+入門編_計算シート!$E$154)</f>
        <v>54633004.214472674</v>
      </c>
      <c r="AI528" s="535">
        <f t="shared" si="322"/>
        <v>-491976112.96545482</v>
      </c>
      <c r="AJ528" s="535">
        <f t="shared" si="323"/>
        <v>-187927239.29157543</v>
      </c>
      <c r="AK528" s="538">
        <f t="shared" si="324"/>
        <v>355162261.53683102</v>
      </c>
    </row>
    <row r="529" spans="1:37" x14ac:dyDescent="0.2">
      <c r="A529" s="505" t="s">
        <v>1064</v>
      </c>
      <c r="B529" s="478"/>
      <c r="C529" s="465" t="s">
        <v>1050</v>
      </c>
      <c r="D529" s="507">
        <f t="shared" ref="D529:AH529" si="326">SUMIF($B$395:$B$412,"従業員の可処分所得（一次）",D$395:D$412)+SUMIF($B$431:$B$479,"従業員の可処分所得（一次）",D$431:D$479)</f>
        <v>54676690.528697133</v>
      </c>
      <c r="E529" s="605">
        <f t="shared" si="326"/>
        <v>5378337.2390158912</v>
      </c>
      <c r="F529" s="507">
        <f t="shared" si="326"/>
        <v>5378337.2390158912</v>
      </c>
      <c r="G529" s="507">
        <f t="shared" si="326"/>
        <v>5378337.2390158912</v>
      </c>
      <c r="H529" s="507">
        <f t="shared" si="326"/>
        <v>5378337.2390158912</v>
      </c>
      <c r="I529" s="507">
        <f t="shared" si="326"/>
        <v>5378337.2390158912</v>
      </c>
      <c r="J529" s="507">
        <f t="shared" si="326"/>
        <v>5378337.2390158912</v>
      </c>
      <c r="K529" s="507">
        <f t="shared" si="326"/>
        <v>5378337.2390158912</v>
      </c>
      <c r="L529" s="507">
        <f t="shared" si="326"/>
        <v>5378337.2390158912</v>
      </c>
      <c r="M529" s="507">
        <f t="shared" si="326"/>
        <v>5378337.2390158912</v>
      </c>
      <c r="N529" s="507">
        <f t="shared" si="326"/>
        <v>5378337.2390158912</v>
      </c>
      <c r="O529" s="507">
        <f t="shared" si="326"/>
        <v>5378337.2390158912</v>
      </c>
      <c r="P529" s="507">
        <f t="shared" si="326"/>
        <v>5378337.2390158912</v>
      </c>
      <c r="Q529" s="507">
        <f t="shared" si="326"/>
        <v>5378337.2390158912</v>
      </c>
      <c r="R529" s="507">
        <f t="shared" si="326"/>
        <v>5378337.2390158912</v>
      </c>
      <c r="S529" s="507">
        <f t="shared" si="326"/>
        <v>5378337.2390158912</v>
      </c>
      <c r="T529" s="507">
        <f t="shared" si="326"/>
        <v>5378337.2390158912</v>
      </c>
      <c r="U529" s="507">
        <f t="shared" si="326"/>
        <v>5378337.2390158912</v>
      </c>
      <c r="V529" s="507">
        <f t="shared" si="326"/>
        <v>5378337.2390158912</v>
      </c>
      <c r="W529" s="507">
        <f t="shared" si="326"/>
        <v>5378337.2390158912</v>
      </c>
      <c r="X529" s="507">
        <f t="shared" si="326"/>
        <v>5378337.2390158912</v>
      </c>
      <c r="Y529" s="507">
        <f t="shared" si="326"/>
        <v>5378337.2390158912</v>
      </c>
      <c r="Z529" s="507">
        <f t="shared" si="326"/>
        <v>5378337.2390158912</v>
      </c>
      <c r="AA529" s="507">
        <f t="shared" si="326"/>
        <v>5378337.2390158912</v>
      </c>
      <c r="AB529" s="507">
        <f t="shared" si="326"/>
        <v>5378337.2390158912</v>
      </c>
      <c r="AC529" s="507">
        <f t="shared" si="326"/>
        <v>5378337.2390158912</v>
      </c>
      <c r="AD529" s="507">
        <f t="shared" si="326"/>
        <v>5378337.2390158912</v>
      </c>
      <c r="AE529" s="507">
        <f t="shared" si="326"/>
        <v>5378337.2390158912</v>
      </c>
      <c r="AF529" s="507">
        <f t="shared" si="326"/>
        <v>5378337.2390158912</v>
      </c>
      <c r="AG529" s="507">
        <f t="shared" si="326"/>
        <v>5378337.2390158912</v>
      </c>
      <c r="AH529" s="507">
        <f t="shared" si="326"/>
        <v>5378337.2390158912</v>
      </c>
      <c r="AI529" s="535">
        <f t="shared" si="322"/>
        <v>108460062.91885605</v>
      </c>
      <c r="AJ529" s="535">
        <f t="shared" si="323"/>
        <v>162243435.30901489</v>
      </c>
      <c r="AK529" s="538">
        <f t="shared" si="324"/>
        <v>216026807.69917366</v>
      </c>
    </row>
    <row r="530" spans="1:37" x14ac:dyDescent="0.2">
      <c r="A530" s="505" t="s">
        <v>1065</v>
      </c>
      <c r="B530" s="478"/>
      <c r="C530" s="465" t="s">
        <v>1050</v>
      </c>
      <c r="D530" s="507">
        <f t="shared" ref="D530:AH530" si="327">SUMIF($B$395:$B$412,"企業の税引後利益（一次）",D$395:D$412)+SUMIF($B$431:$B$479,"企業の税引後利益（一次）",D$431:D$479)</f>
        <v>21583838.496194109</v>
      </c>
      <c r="E530" s="605">
        <f t="shared" si="327"/>
        <v>3387748.0037124259</v>
      </c>
      <c r="F530" s="507">
        <f t="shared" si="327"/>
        <v>3387748.0037124259</v>
      </c>
      <c r="G530" s="507">
        <f t="shared" si="327"/>
        <v>3387748.0037124259</v>
      </c>
      <c r="H530" s="507">
        <f t="shared" si="327"/>
        <v>3387748.0037124259</v>
      </c>
      <c r="I530" s="507">
        <f t="shared" si="327"/>
        <v>3387748.0037124259</v>
      </c>
      <c r="J530" s="507">
        <f t="shared" si="327"/>
        <v>3387748.0037124259</v>
      </c>
      <c r="K530" s="507">
        <f t="shared" si="327"/>
        <v>3387748.0037124259</v>
      </c>
      <c r="L530" s="507">
        <f t="shared" si="327"/>
        <v>3387748.0037124259</v>
      </c>
      <c r="M530" s="507">
        <f t="shared" si="327"/>
        <v>3387748.0037124259</v>
      </c>
      <c r="N530" s="507">
        <f t="shared" si="327"/>
        <v>3387748.0037124259</v>
      </c>
      <c r="O530" s="507">
        <f t="shared" si="327"/>
        <v>3387748.0037124259</v>
      </c>
      <c r="P530" s="507">
        <f t="shared" si="327"/>
        <v>3387748.0037124259</v>
      </c>
      <c r="Q530" s="507">
        <f t="shared" si="327"/>
        <v>3387748.0037124259</v>
      </c>
      <c r="R530" s="507">
        <f t="shared" si="327"/>
        <v>3387748.0037124259</v>
      </c>
      <c r="S530" s="507">
        <f t="shared" si="327"/>
        <v>3387748.0037124259</v>
      </c>
      <c r="T530" s="507">
        <f t="shared" si="327"/>
        <v>3387748.0037124259</v>
      </c>
      <c r="U530" s="507">
        <f t="shared" si="327"/>
        <v>3387748.0037124259</v>
      </c>
      <c r="V530" s="507">
        <f t="shared" si="327"/>
        <v>3387748.0037124259</v>
      </c>
      <c r="W530" s="507">
        <f t="shared" si="327"/>
        <v>3387748.0037124259</v>
      </c>
      <c r="X530" s="507">
        <f t="shared" si="327"/>
        <v>3387748.0037124259</v>
      </c>
      <c r="Y530" s="507">
        <f t="shared" si="327"/>
        <v>3387748.0037124259</v>
      </c>
      <c r="Z530" s="507">
        <f t="shared" si="327"/>
        <v>3387748.0037124259</v>
      </c>
      <c r="AA530" s="507">
        <f t="shared" si="327"/>
        <v>3387748.0037124259</v>
      </c>
      <c r="AB530" s="507">
        <f t="shared" si="327"/>
        <v>3387748.0037124259</v>
      </c>
      <c r="AC530" s="507">
        <f t="shared" si="327"/>
        <v>3387748.0037124259</v>
      </c>
      <c r="AD530" s="507">
        <f t="shared" si="327"/>
        <v>3387748.0037124259</v>
      </c>
      <c r="AE530" s="507">
        <f t="shared" si="327"/>
        <v>3387748.0037124259</v>
      </c>
      <c r="AF530" s="507">
        <f t="shared" si="327"/>
        <v>3387748.0037124259</v>
      </c>
      <c r="AG530" s="507">
        <f t="shared" si="327"/>
        <v>3387748.0037124259</v>
      </c>
      <c r="AH530" s="507">
        <f t="shared" si="327"/>
        <v>3387748.0037124259</v>
      </c>
      <c r="AI530" s="535">
        <f t="shared" si="322"/>
        <v>55461318.533318356</v>
      </c>
      <c r="AJ530" s="535">
        <f t="shared" si="323"/>
        <v>89338798.570442632</v>
      </c>
      <c r="AK530" s="538">
        <f t="shared" si="324"/>
        <v>123216278.60756694</v>
      </c>
    </row>
    <row r="531" spans="1:37" ht="12.75" customHeight="1" x14ac:dyDescent="0.2">
      <c r="A531" s="505" t="s">
        <v>1066</v>
      </c>
      <c r="B531" s="478"/>
      <c r="C531" s="465" t="s">
        <v>1050</v>
      </c>
      <c r="D531" s="507">
        <f t="shared" ref="D531:AH531" si="328">D403</f>
        <v>21583838.496194109</v>
      </c>
      <c r="E531" s="605">
        <f t="shared" si="328"/>
        <v>0</v>
      </c>
      <c r="F531" s="507">
        <f t="shared" si="328"/>
        <v>0</v>
      </c>
      <c r="G531" s="507">
        <f t="shared" si="328"/>
        <v>0</v>
      </c>
      <c r="H531" s="507">
        <f t="shared" si="328"/>
        <v>0</v>
      </c>
      <c r="I531" s="507">
        <f t="shared" si="328"/>
        <v>0</v>
      </c>
      <c r="J531" s="507">
        <f t="shared" si="328"/>
        <v>0</v>
      </c>
      <c r="K531" s="507">
        <f t="shared" si="328"/>
        <v>0</v>
      </c>
      <c r="L531" s="507">
        <f t="shared" si="328"/>
        <v>0</v>
      </c>
      <c r="M531" s="507">
        <f t="shared" si="328"/>
        <v>0</v>
      </c>
      <c r="N531" s="507">
        <f t="shared" si="328"/>
        <v>0</v>
      </c>
      <c r="O531" s="507">
        <f t="shared" si="328"/>
        <v>0</v>
      </c>
      <c r="P531" s="507">
        <f t="shared" si="328"/>
        <v>0</v>
      </c>
      <c r="Q531" s="507">
        <f t="shared" si="328"/>
        <v>0</v>
      </c>
      <c r="R531" s="507">
        <f t="shared" si="328"/>
        <v>0</v>
      </c>
      <c r="S531" s="507">
        <f t="shared" si="328"/>
        <v>0</v>
      </c>
      <c r="T531" s="507">
        <f t="shared" si="328"/>
        <v>0</v>
      </c>
      <c r="U531" s="507">
        <f t="shared" si="328"/>
        <v>0</v>
      </c>
      <c r="V531" s="507">
        <f t="shared" si="328"/>
        <v>0</v>
      </c>
      <c r="W531" s="507">
        <f t="shared" si="328"/>
        <v>0</v>
      </c>
      <c r="X531" s="507">
        <f t="shared" si="328"/>
        <v>0</v>
      </c>
      <c r="Y531" s="507">
        <f t="shared" si="328"/>
        <v>0</v>
      </c>
      <c r="Z531" s="507">
        <f t="shared" si="328"/>
        <v>0</v>
      </c>
      <c r="AA531" s="507">
        <f t="shared" si="328"/>
        <v>0</v>
      </c>
      <c r="AB531" s="507">
        <f t="shared" si="328"/>
        <v>0</v>
      </c>
      <c r="AC531" s="507">
        <f t="shared" si="328"/>
        <v>0</v>
      </c>
      <c r="AD531" s="507">
        <f t="shared" si="328"/>
        <v>0</v>
      </c>
      <c r="AE531" s="507">
        <f t="shared" si="328"/>
        <v>0</v>
      </c>
      <c r="AF531" s="507">
        <f t="shared" si="328"/>
        <v>0</v>
      </c>
      <c r="AG531" s="507">
        <f t="shared" si="328"/>
        <v>0</v>
      </c>
      <c r="AH531" s="507">
        <f t="shared" si="328"/>
        <v>0</v>
      </c>
      <c r="AI531" s="535">
        <f t="shared" si="322"/>
        <v>21583838.496194109</v>
      </c>
      <c r="AJ531" s="535">
        <f t="shared" si="323"/>
        <v>21583838.496194109</v>
      </c>
      <c r="AK531" s="538">
        <f t="shared" si="324"/>
        <v>21583838.496194109</v>
      </c>
    </row>
    <row r="532" spans="1:37" x14ac:dyDescent="0.2">
      <c r="A532" s="505" t="s">
        <v>1067</v>
      </c>
      <c r="B532" s="478"/>
      <c r="C532" s="465" t="s">
        <v>1050</v>
      </c>
      <c r="D532" s="507">
        <f>D421+D439</f>
        <v>0</v>
      </c>
      <c r="E532" s="605">
        <f>E439</f>
        <v>3387748.0037124259</v>
      </c>
      <c r="F532" s="507">
        <f t="shared" ref="F532:AH532" si="329">F439</f>
        <v>3387748.0037124259</v>
      </c>
      <c r="G532" s="507">
        <f t="shared" si="329"/>
        <v>3387748.0037124259</v>
      </c>
      <c r="H532" s="507">
        <f t="shared" si="329"/>
        <v>3387748.0037124259</v>
      </c>
      <c r="I532" s="507">
        <f t="shared" si="329"/>
        <v>3387748.0037124259</v>
      </c>
      <c r="J532" s="507">
        <f t="shared" si="329"/>
        <v>3387748.0037124259</v>
      </c>
      <c r="K532" s="507">
        <f t="shared" si="329"/>
        <v>3387748.0037124259</v>
      </c>
      <c r="L532" s="507">
        <f t="shared" si="329"/>
        <v>3387748.0037124259</v>
      </c>
      <c r="M532" s="507">
        <f t="shared" si="329"/>
        <v>3387748.0037124259</v>
      </c>
      <c r="N532" s="507">
        <f t="shared" si="329"/>
        <v>3387748.0037124259</v>
      </c>
      <c r="O532" s="507">
        <f t="shared" si="329"/>
        <v>3387748.0037124259</v>
      </c>
      <c r="P532" s="507">
        <f t="shared" si="329"/>
        <v>3387748.0037124259</v>
      </c>
      <c r="Q532" s="507">
        <f t="shared" si="329"/>
        <v>3387748.0037124259</v>
      </c>
      <c r="R532" s="507">
        <f t="shared" si="329"/>
        <v>3387748.0037124259</v>
      </c>
      <c r="S532" s="507">
        <f t="shared" si="329"/>
        <v>3387748.0037124259</v>
      </c>
      <c r="T532" s="507">
        <f t="shared" si="329"/>
        <v>3387748.0037124259</v>
      </c>
      <c r="U532" s="507">
        <f t="shared" si="329"/>
        <v>3387748.0037124259</v>
      </c>
      <c r="V532" s="507">
        <f t="shared" si="329"/>
        <v>3387748.0037124259</v>
      </c>
      <c r="W532" s="507">
        <f t="shared" si="329"/>
        <v>3387748.0037124259</v>
      </c>
      <c r="X532" s="507">
        <f t="shared" si="329"/>
        <v>3387748.0037124259</v>
      </c>
      <c r="Y532" s="507">
        <f t="shared" si="329"/>
        <v>3387748.0037124259</v>
      </c>
      <c r="Z532" s="507">
        <f t="shared" si="329"/>
        <v>3387748.0037124259</v>
      </c>
      <c r="AA532" s="507">
        <f t="shared" si="329"/>
        <v>3387748.0037124259</v>
      </c>
      <c r="AB532" s="507">
        <f t="shared" si="329"/>
        <v>3387748.0037124259</v>
      </c>
      <c r="AC532" s="507">
        <f t="shared" si="329"/>
        <v>3387748.0037124259</v>
      </c>
      <c r="AD532" s="507">
        <f t="shared" si="329"/>
        <v>3387748.0037124259</v>
      </c>
      <c r="AE532" s="507">
        <f t="shared" si="329"/>
        <v>3387748.0037124259</v>
      </c>
      <c r="AF532" s="507">
        <f t="shared" si="329"/>
        <v>3387748.0037124259</v>
      </c>
      <c r="AG532" s="507">
        <f t="shared" si="329"/>
        <v>3387748.0037124259</v>
      </c>
      <c r="AH532" s="507">
        <f t="shared" si="329"/>
        <v>3387748.0037124259</v>
      </c>
      <c r="AI532" s="535">
        <f t="shared" si="322"/>
        <v>33877480.037124261</v>
      </c>
      <c r="AJ532" s="535">
        <f t="shared" si="323"/>
        <v>67754960.074248493</v>
      </c>
      <c r="AK532" s="538">
        <f t="shared" si="324"/>
        <v>101632440.1113728</v>
      </c>
    </row>
    <row r="533" spans="1:37" x14ac:dyDescent="0.2">
      <c r="A533" s="505" t="s">
        <v>1068</v>
      </c>
      <c r="B533" s="478"/>
      <c r="C533" s="465" t="s">
        <v>1050</v>
      </c>
      <c r="D533" s="507">
        <f>SUMIF($B$395:$B$479,$A533,D$395:D$479)+SUMIF($B$395:$B$479,"消費税（都道府県）",D$395:D$479)+D497+D499+D493</f>
        <v>13029724.119233852</v>
      </c>
      <c r="E533" s="605">
        <f>SUMIF($B$395:$B$479,$A533,E$395:E$479)+SUMIF($B$395:$B$479,"消費税（都道府県）",E$395:E$479)+E497+E499+E493</f>
        <v>5480914.8340922883</v>
      </c>
      <c r="F533" s="507">
        <f t="shared" ref="F533:AH533" si="330">SUMIF($B$395:$B$479,$A533,F$395:F$479)+SUMIF($B$395:$B$479,"消費税（都道府県）",F$395:F$479)+F497+F499+F493</f>
        <v>5481838.4039769461</v>
      </c>
      <c r="G533" s="507">
        <f t="shared" si="330"/>
        <v>5482761.9738616031</v>
      </c>
      <c r="H533" s="507">
        <f t="shared" si="330"/>
        <v>5483685.5437462609</v>
      </c>
      <c r="I533" s="507">
        <f t="shared" si="330"/>
        <v>5484609.1136309188</v>
      </c>
      <c r="J533" s="507">
        <f t="shared" si="330"/>
        <v>5485532.6835155757</v>
      </c>
      <c r="K533" s="507">
        <f t="shared" si="330"/>
        <v>5486456.2534002336</v>
      </c>
      <c r="L533" s="507">
        <f t="shared" si="330"/>
        <v>5487379.8232848914</v>
      </c>
      <c r="M533" s="507">
        <f t="shared" si="330"/>
        <v>5488303.3931695493</v>
      </c>
      <c r="N533" s="507">
        <f t="shared" si="330"/>
        <v>5489226.9630542062</v>
      </c>
      <c r="O533" s="507">
        <f t="shared" si="330"/>
        <v>5490150.5329388641</v>
      </c>
      <c r="P533" s="507">
        <f t="shared" si="330"/>
        <v>5491074.1028235219</v>
      </c>
      <c r="Q533" s="507">
        <f t="shared" si="330"/>
        <v>5491997.6727081789</v>
      </c>
      <c r="R533" s="507">
        <f t="shared" si="330"/>
        <v>5492921.2425928367</v>
      </c>
      <c r="S533" s="507">
        <f t="shared" si="330"/>
        <v>5493844.8124774946</v>
      </c>
      <c r="T533" s="507">
        <f t="shared" si="330"/>
        <v>7871758.8758677831</v>
      </c>
      <c r="U533" s="507">
        <f t="shared" si="330"/>
        <v>7872682.44575244</v>
      </c>
      <c r="V533" s="507">
        <f t="shared" si="330"/>
        <v>7873606.0156370979</v>
      </c>
      <c r="W533" s="507">
        <f t="shared" si="330"/>
        <v>7874529.5855217548</v>
      </c>
      <c r="X533" s="507">
        <f t="shared" si="330"/>
        <v>7875453.1554064127</v>
      </c>
      <c r="Y533" s="507">
        <f t="shared" si="330"/>
        <v>7876376.7252910705</v>
      </c>
      <c r="Z533" s="507">
        <f t="shared" si="330"/>
        <v>7876376.7252910705</v>
      </c>
      <c r="AA533" s="507">
        <f t="shared" si="330"/>
        <v>7876376.7252910705</v>
      </c>
      <c r="AB533" s="507">
        <f t="shared" si="330"/>
        <v>7876376.7252910705</v>
      </c>
      <c r="AC533" s="507">
        <f t="shared" si="330"/>
        <v>7876376.7252910705</v>
      </c>
      <c r="AD533" s="507">
        <f t="shared" si="330"/>
        <v>7876376.7252910705</v>
      </c>
      <c r="AE533" s="507">
        <f t="shared" si="330"/>
        <v>7876376.7252910705</v>
      </c>
      <c r="AF533" s="507">
        <f t="shared" si="330"/>
        <v>7876376.7252910705</v>
      </c>
      <c r="AG533" s="507">
        <f t="shared" si="330"/>
        <v>7876376.7252910705</v>
      </c>
      <c r="AH533" s="507">
        <f t="shared" si="330"/>
        <v>7876376.7252910705</v>
      </c>
      <c r="AI533" s="535">
        <f t="shared" ref="AI533:AI538" si="331">SUM(D533:N533)</f>
        <v>67880433.104966342</v>
      </c>
      <c r="AJ533" s="535">
        <f t="shared" ref="AJ533:AJ538" si="332">SUM(D533:X533)</f>
        <v>134708451.54669276</v>
      </c>
      <c r="AK533" s="538">
        <f t="shared" ref="AK533:AK538" si="333">SUM(D533:AH533)</f>
        <v>213472218.79960349</v>
      </c>
    </row>
    <row r="534" spans="1:37" x14ac:dyDescent="0.2">
      <c r="A534" s="505" t="s">
        <v>1069</v>
      </c>
      <c r="B534" s="478"/>
      <c r="C534" s="465" t="s">
        <v>1050</v>
      </c>
      <c r="D534" s="1269">
        <f t="shared" ref="D534" si="334">SUMIF($B$395:$B$479,$A534,D$395:D$479)+SUMIF($B$395:$B$479,"消費税（市町村）",D$395:D$479)+D498+D500+D494</f>
        <v>8928492.6284239404</v>
      </c>
      <c r="E534" s="1269">
        <f>SUMIF($B$395:$B$479,$A534,E$395:E$479)+SUMIF($B$395:$B$479,"消費税（市町村）",E$395:E$479)+E498+E500+E494</f>
        <v>25876155.522709131</v>
      </c>
      <c r="F534" s="1269">
        <f t="shared" ref="F534:AH534" si="335">SUMIF($B$395:$B$479,$A534,F$395:F$479)+SUMIF($B$395:$B$479,"消費税（市町村）",F$395:F$479)+F498+F500+F494</f>
        <v>24639119.792589426</v>
      </c>
      <c r="G534" s="1269">
        <f t="shared" si="335"/>
        <v>23402084.062469713</v>
      </c>
      <c r="H534" s="1269">
        <f t="shared" si="335"/>
        <v>22165048.332350008</v>
      </c>
      <c r="I534" s="1269">
        <f t="shared" si="335"/>
        <v>20928012.602230296</v>
      </c>
      <c r="J534" s="1269">
        <f t="shared" si="335"/>
        <v>19690976.872110583</v>
      </c>
      <c r="K534" s="1269">
        <f t="shared" si="335"/>
        <v>18453941.141990878</v>
      </c>
      <c r="L534" s="1269">
        <f t="shared" si="335"/>
        <v>17216905.411871165</v>
      </c>
      <c r="M534" s="1269">
        <f t="shared" si="335"/>
        <v>15979869.68175146</v>
      </c>
      <c r="N534" s="1269">
        <f t="shared" si="335"/>
        <v>14742833.951631751</v>
      </c>
      <c r="O534" s="1269">
        <f t="shared" si="335"/>
        <v>13505798.22151204</v>
      </c>
      <c r="P534" s="1269">
        <f t="shared" si="335"/>
        <v>12268762.491392331</v>
      </c>
      <c r="Q534" s="1269">
        <f t="shared" si="335"/>
        <v>11031726.761272622</v>
      </c>
      <c r="R534" s="1269">
        <f t="shared" si="335"/>
        <v>9794691.0311529133</v>
      </c>
      <c r="S534" s="1269">
        <f t="shared" si="335"/>
        <v>8557655.3010332044</v>
      </c>
      <c r="T534" s="1269">
        <f t="shared" si="335"/>
        <v>8209212.4393474897</v>
      </c>
      <c r="U534" s="1269">
        <f t="shared" si="335"/>
        <v>8066759.553851516</v>
      </c>
      <c r="V534" s="1269">
        <f t="shared" si="335"/>
        <v>7924306.6683555413</v>
      </c>
      <c r="W534" s="1269">
        <f t="shared" si="335"/>
        <v>7781853.7828595676</v>
      </c>
      <c r="X534" s="1269">
        <f t="shared" si="335"/>
        <v>7639400.8973635929</v>
      </c>
      <c r="Y534" s="1269">
        <f t="shared" si="335"/>
        <v>7496948.0118676182</v>
      </c>
      <c r="Z534" s="1269">
        <f t="shared" si="335"/>
        <v>7352923.9533644952</v>
      </c>
      <c r="AA534" s="1269">
        <f t="shared" si="335"/>
        <v>7208899.8948613722</v>
      </c>
      <c r="AB534" s="1269">
        <f t="shared" si="335"/>
        <v>7064875.8363582492</v>
      </c>
      <c r="AC534" s="1269">
        <f t="shared" si="335"/>
        <v>6920851.7778551262</v>
      </c>
      <c r="AD534" s="1269">
        <f t="shared" si="335"/>
        <v>6776827.7193520032</v>
      </c>
      <c r="AE534" s="1269">
        <f t="shared" si="335"/>
        <v>6632803.6608488802</v>
      </c>
      <c r="AF534" s="1269">
        <f t="shared" si="335"/>
        <v>6488779.6023457572</v>
      </c>
      <c r="AG534" s="1269">
        <f t="shared" si="335"/>
        <v>6344755.5438426342</v>
      </c>
      <c r="AH534" s="1269">
        <f t="shared" si="335"/>
        <v>6200731.4853395112</v>
      </c>
      <c r="AI534" s="1277">
        <f t="shared" ref="AI534:AK534" si="336">SUMIF($B$395:$B$479,$A534,AI$395:AI$479)+SUMIF($B$395:$B$479,"消費税（市区町村）")+AI498+AI500+AI494</f>
        <v>200546409.36254242</v>
      </c>
      <c r="AJ534" s="1277">
        <f t="shared" si="336"/>
        <v>289224729.48508877</v>
      </c>
      <c r="AK534" s="1293">
        <f t="shared" si="336"/>
        <v>351611279.94553006</v>
      </c>
    </row>
    <row r="535" spans="1:37" x14ac:dyDescent="0.2">
      <c r="A535" s="505" t="s">
        <v>1070</v>
      </c>
      <c r="B535" s="478"/>
      <c r="C535" s="465" t="s">
        <v>1050</v>
      </c>
      <c r="D535" s="507">
        <f t="shared" ref="D535:AH535" si="337">SUMIF($B$395:$B$479,"従業員の可処分所得（二次以降）",D$395:D$479)</f>
        <v>36226851.491044633</v>
      </c>
      <c r="E535" s="605">
        <f t="shared" si="337"/>
        <v>3795114.3147181505</v>
      </c>
      <c r="F535" s="507">
        <f t="shared" si="337"/>
        <v>3774194.6268474641</v>
      </c>
      <c r="G535" s="507">
        <f t="shared" si="337"/>
        <v>3753274.9389767777</v>
      </c>
      <c r="H535" s="507">
        <f t="shared" si="337"/>
        <v>3732355.2511060913</v>
      </c>
      <c r="I535" s="507">
        <f t="shared" si="337"/>
        <v>3711435.5632354049</v>
      </c>
      <c r="J535" s="507">
        <f t="shared" si="337"/>
        <v>3690515.8753647185</v>
      </c>
      <c r="K535" s="507">
        <f t="shared" si="337"/>
        <v>3669596.1874940321</v>
      </c>
      <c r="L535" s="507">
        <f t="shared" si="337"/>
        <v>3648676.4996233457</v>
      </c>
      <c r="M535" s="507">
        <f t="shared" si="337"/>
        <v>3627756.8117526593</v>
      </c>
      <c r="N535" s="507">
        <f t="shared" si="337"/>
        <v>3606837.1238819729</v>
      </c>
      <c r="O535" s="507">
        <f t="shared" si="337"/>
        <v>3585917.4360112865</v>
      </c>
      <c r="P535" s="507">
        <f t="shared" si="337"/>
        <v>3564997.7481406</v>
      </c>
      <c r="Q535" s="507">
        <f t="shared" si="337"/>
        <v>3544078.0602699136</v>
      </c>
      <c r="R535" s="507">
        <f t="shared" si="337"/>
        <v>3523158.3723992272</v>
      </c>
      <c r="S535" s="507">
        <f t="shared" si="337"/>
        <v>3502238.6845285408</v>
      </c>
      <c r="T535" s="507">
        <f t="shared" si="337"/>
        <v>3481318.9966578544</v>
      </c>
      <c r="U535" s="507">
        <f t="shared" si="337"/>
        <v>3460399.308787168</v>
      </c>
      <c r="V535" s="507">
        <f t="shared" si="337"/>
        <v>3439479.6209164816</v>
      </c>
      <c r="W535" s="507">
        <f t="shared" si="337"/>
        <v>3418559.9330457952</v>
      </c>
      <c r="X535" s="507">
        <f t="shared" si="337"/>
        <v>3397640.2451751088</v>
      </c>
      <c r="Y535" s="507">
        <f t="shared" si="337"/>
        <v>3376720.5573044224</v>
      </c>
      <c r="Z535" s="507">
        <f t="shared" si="337"/>
        <v>3376720.5573044224</v>
      </c>
      <c r="AA535" s="507">
        <f t="shared" si="337"/>
        <v>3376720.5573044224</v>
      </c>
      <c r="AB535" s="507">
        <f t="shared" si="337"/>
        <v>3376720.5573044224</v>
      </c>
      <c r="AC535" s="507">
        <f t="shared" si="337"/>
        <v>3376720.5573044224</v>
      </c>
      <c r="AD535" s="507">
        <f t="shared" si="337"/>
        <v>3376720.5573044224</v>
      </c>
      <c r="AE535" s="507">
        <f t="shared" si="337"/>
        <v>3376720.5573044224</v>
      </c>
      <c r="AF535" s="507">
        <f t="shared" si="337"/>
        <v>3376720.5573044224</v>
      </c>
      <c r="AG535" s="507">
        <f t="shared" si="337"/>
        <v>3376720.5573044224</v>
      </c>
      <c r="AH535" s="507">
        <f t="shared" si="337"/>
        <v>3376720.5573044224</v>
      </c>
      <c r="AI535" s="535">
        <f t="shared" si="331"/>
        <v>73236608.68404524</v>
      </c>
      <c r="AJ535" s="535">
        <f t="shared" si="332"/>
        <v>108154397.0899772</v>
      </c>
      <c r="AK535" s="538">
        <f t="shared" si="333"/>
        <v>141921602.66302145</v>
      </c>
    </row>
    <row r="536" spans="1:37" x14ac:dyDescent="0.2">
      <c r="A536" s="505" t="s">
        <v>1071</v>
      </c>
      <c r="B536" s="478"/>
      <c r="C536" s="465" t="s">
        <v>1050</v>
      </c>
      <c r="D536" s="507">
        <f>SUMIF($B$395:$B$479,"企業の税引後利益（二次以降）",D$395:D$479)</f>
        <v>33777257.353709415</v>
      </c>
      <c r="E536" s="605">
        <f t="shared" ref="E536:AH536" si="338">SUMIF($B$395:$B$479,"企業の税引後利益（二次以降）",E$395:E$479)</f>
        <v>3310733.2980803438</v>
      </c>
      <c r="F536" s="507">
        <f t="shared" si="338"/>
        <v>3286089.3011796535</v>
      </c>
      <c r="G536" s="507">
        <f t="shared" si="338"/>
        <v>3261445.3042789632</v>
      </c>
      <c r="H536" s="507">
        <f t="shared" si="338"/>
        <v>3236801.3073782725</v>
      </c>
      <c r="I536" s="507">
        <f t="shared" si="338"/>
        <v>3212157.3104775823</v>
      </c>
      <c r="J536" s="507">
        <f t="shared" si="338"/>
        <v>3187513.313576892</v>
      </c>
      <c r="K536" s="507">
        <f t="shared" si="338"/>
        <v>3162869.3166762013</v>
      </c>
      <c r="L536" s="507">
        <f t="shared" si="338"/>
        <v>3138225.319775511</v>
      </c>
      <c r="M536" s="507">
        <f t="shared" si="338"/>
        <v>3113581.3228748203</v>
      </c>
      <c r="N536" s="507">
        <f t="shared" si="338"/>
        <v>3088937.3259741301</v>
      </c>
      <c r="O536" s="507">
        <f t="shared" si="338"/>
        <v>3064293.3290734398</v>
      </c>
      <c r="P536" s="507">
        <f t="shared" si="338"/>
        <v>3039649.3321727491</v>
      </c>
      <c r="Q536" s="507">
        <f t="shared" si="338"/>
        <v>3015005.3352720588</v>
      </c>
      <c r="R536" s="507">
        <f t="shared" si="338"/>
        <v>2990361.3383713686</v>
      </c>
      <c r="S536" s="507">
        <f t="shared" si="338"/>
        <v>2965717.3414706779</v>
      </c>
      <c r="T536" s="507">
        <f t="shared" si="338"/>
        <v>2941073.3445699876</v>
      </c>
      <c r="U536" s="507">
        <f t="shared" si="338"/>
        <v>2916429.3476692969</v>
      </c>
      <c r="V536" s="507">
        <f t="shared" si="338"/>
        <v>2891785.3507686066</v>
      </c>
      <c r="W536" s="507">
        <f t="shared" si="338"/>
        <v>2867141.3538679164</v>
      </c>
      <c r="X536" s="507">
        <f t="shared" si="338"/>
        <v>2842497.3569672257</v>
      </c>
      <c r="Y536" s="507">
        <f t="shared" si="338"/>
        <v>2817853.3600665354</v>
      </c>
      <c r="Z536" s="507">
        <f t="shared" si="338"/>
        <v>2817853.3600665354</v>
      </c>
      <c r="AA536" s="507">
        <f t="shared" si="338"/>
        <v>2817853.3600665354</v>
      </c>
      <c r="AB536" s="507">
        <f t="shared" si="338"/>
        <v>2817853.3600665354</v>
      </c>
      <c r="AC536" s="507">
        <f t="shared" si="338"/>
        <v>2817853.3600665354</v>
      </c>
      <c r="AD536" s="507">
        <f t="shared" si="338"/>
        <v>2817853.3600665354</v>
      </c>
      <c r="AE536" s="507">
        <f t="shared" si="338"/>
        <v>2817853.3600665354</v>
      </c>
      <c r="AF536" s="507">
        <f t="shared" si="338"/>
        <v>2817853.3600665354</v>
      </c>
      <c r="AG536" s="507">
        <f t="shared" si="338"/>
        <v>2817853.3600665354</v>
      </c>
      <c r="AH536" s="507">
        <f t="shared" si="338"/>
        <v>2817853.3600665354</v>
      </c>
      <c r="AI536" s="535">
        <f t="shared" si="331"/>
        <v>65775610.473981783</v>
      </c>
      <c r="AJ536" s="535">
        <f t="shared" si="332"/>
        <v>95309563.904185116</v>
      </c>
      <c r="AK536" s="538">
        <f t="shared" si="333"/>
        <v>123488097.50485045</v>
      </c>
    </row>
    <row r="537" spans="1:37" x14ac:dyDescent="0.2">
      <c r="A537" s="505" t="s">
        <v>1072</v>
      </c>
      <c r="B537" s="478"/>
      <c r="C537" s="465" t="s">
        <v>1050</v>
      </c>
      <c r="D537" s="507">
        <f t="shared" ref="D537:S538" si="339">SUMIF($B$395:$B$479,$A537,D$395:D$479)</f>
        <v>7642863.4268064853</v>
      </c>
      <c r="E537" s="605">
        <f t="shared" si="339"/>
        <v>770595.67801432963</v>
      </c>
      <c r="F537" s="507">
        <f t="shared" si="339"/>
        <v>765503.78662006662</v>
      </c>
      <c r="G537" s="507">
        <f t="shared" si="339"/>
        <v>760411.8952258036</v>
      </c>
      <c r="H537" s="507">
        <f t="shared" si="339"/>
        <v>755320.00383154058</v>
      </c>
      <c r="I537" s="507">
        <f t="shared" si="339"/>
        <v>750228.11243727757</v>
      </c>
      <c r="J537" s="507">
        <f t="shared" si="339"/>
        <v>745136.22104301455</v>
      </c>
      <c r="K537" s="507">
        <f t="shared" si="339"/>
        <v>740044.32964875153</v>
      </c>
      <c r="L537" s="507">
        <f t="shared" si="339"/>
        <v>734952.43825448852</v>
      </c>
      <c r="M537" s="507">
        <f t="shared" si="339"/>
        <v>729860.5468602255</v>
      </c>
      <c r="N537" s="507">
        <f t="shared" si="339"/>
        <v>724768.65546596248</v>
      </c>
      <c r="O537" s="507">
        <f t="shared" si="339"/>
        <v>719676.76407169946</v>
      </c>
      <c r="P537" s="507">
        <f t="shared" si="339"/>
        <v>714584.87267743645</v>
      </c>
      <c r="Q537" s="507">
        <f t="shared" si="339"/>
        <v>709492.98128317343</v>
      </c>
      <c r="R537" s="507">
        <f t="shared" si="339"/>
        <v>704401.08988891041</v>
      </c>
      <c r="S537" s="507">
        <f t="shared" si="339"/>
        <v>699309.1984946474</v>
      </c>
      <c r="T537" s="507">
        <f t="shared" ref="T537:AH538" si="340">SUMIF($B$395:$B$479,$A537,T$395:T$479)</f>
        <v>694217.30710038438</v>
      </c>
      <c r="U537" s="507">
        <f t="shared" si="340"/>
        <v>689125.41570612136</v>
      </c>
      <c r="V537" s="507">
        <f t="shared" si="340"/>
        <v>684033.52431185835</v>
      </c>
      <c r="W537" s="507">
        <f t="shared" si="340"/>
        <v>678941.63291759533</v>
      </c>
      <c r="X537" s="507">
        <f t="shared" si="340"/>
        <v>673849.74152333231</v>
      </c>
      <c r="Y537" s="507">
        <f t="shared" si="340"/>
        <v>668757.85012906929</v>
      </c>
      <c r="Z537" s="507">
        <f t="shared" si="340"/>
        <v>668757.85012906929</v>
      </c>
      <c r="AA537" s="507">
        <f t="shared" si="340"/>
        <v>668757.85012906929</v>
      </c>
      <c r="AB537" s="507">
        <f t="shared" si="340"/>
        <v>668757.85012906929</v>
      </c>
      <c r="AC537" s="507">
        <f t="shared" si="340"/>
        <v>668757.85012906929</v>
      </c>
      <c r="AD537" s="507">
        <f t="shared" si="340"/>
        <v>668757.85012906929</v>
      </c>
      <c r="AE537" s="507">
        <f t="shared" si="340"/>
        <v>668757.85012906929</v>
      </c>
      <c r="AF537" s="507">
        <f t="shared" si="340"/>
        <v>668757.85012906929</v>
      </c>
      <c r="AG537" s="507">
        <f t="shared" si="340"/>
        <v>668757.85012906929</v>
      </c>
      <c r="AH537" s="507">
        <f t="shared" si="340"/>
        <v>668757.85012906929</v>
      </c>
      <c r="AI537" s="535">
        <f t="shared" si="331"/>
        <v>15119685.094207948</v>
      </c>
      <c r="AJ537" s="535">
        <f t="shared" si="332"/>
        <v>22087317.622183107</v>
      </c>
      <c r="AK537" s="538">
        <f t="shared" si="333"/>
        <v>28774896.123473786</v>
      </c>
    </row>
    <row r="538" spans="1:37" x14ac:dyDescent="0.2">
      <c r="A538" s="505" t="s">
        <v>1073</v>
      </c>
      <c r="B538" s="478"/>
      <c r="C538" s="465" t="s">
        <v>1050</v>
      </c>
      <c r="D538" s="507">
        <f t="shared" si="339"/>
        <v>2653093.4606135124</v>
      </c>
      <c r="E538" s="605">
        <f t="shared" si="339"/>
        <v>274443.12104866747</v>
      </c>
      <c r="F538" s="507">
        <f t="shared" si="339"/>
        <v>272832.2193396684</v>
      </c>
      <c r="G538" s="507">
        <f t="shared" si="339"/>
        <v>271221.31763066933</v>
      </c>
      <c r="H538" s="507">
        <f t="shared" si="339"/>
        <v>269610.41592167027</v>
      </c>
      <c r="I538" s="507">
        <f t="shared" si="339"/>
        <v>267999.5142126712</v>
      </c>
      <c r="J538" s="507">
        <f t="shared" si="339"/>
        <v>266388.61250367214</v>
      </c>
      <c r="K538" s="507">
        <f t="shared" si="339"/>
        <v>264777.71079467301</v>
      </c>
      <c r="L538" s="507">
        <f t="shared" si="339"/>
        <v>263166.80908567394</v>
      </c>
      <c r="M538" s="507">
        <f t="shared" si="339"/>
        <v>261555.90737667488</v>
      </c>
      <c r="N538" s="507">
        <f t="shared" si="339"/>
        <v>259945.00566767581</v>
      </c>
      <c r="O538" s="507">
        <f t="shared" si="339"/>
        <v>258334.10395867674</v>
      </c>
      <c r="P538" s="507">
        <f t="shared" si="339"/>
        <v>256723.20224967768</v>
      </c>
      <c r="Q538" s="507">
        <f t="shared" si="339"/>
        <v>255112.30054067861</v>
      </c>
      <c r="R538" s="507">
        <f t="shared" si="339"/>
        <v>253501.39883167951</v>
      </c>
      <c r="S538" s="507">
        <f t="shared" si="339"/>
        <v>251890.49712268045</v>
      </c>
      <c r="T538" s="507">
        <f t="shared" si="340"/>
        <v>250279.59541368138</v>
      </c>
      <c r="U538" s="507">
        <f t="shared" si="340"/>
        <v>248668.69370468232</v>
      </c>
      <c r="V538" s="507">
        <f t="shared" si="340"/>
        <v>247057.79199568325</v>
      </c>
      <c r="W538" s="507">
        <f t="shared" si="340"/>
        <v>245446.89028668415</v>
      </c>
      <c r="X538" s="507">
        <f t="shared" si="340"/>
        <v>243835.98857768509</v>
      </c>
      <c r="Y538" s="507">
        <f t="shared" si="340"/>
        <v>242225.08686868602</v>
      </c>
      <c r="Z538" s="507">
        <f t="shared" si="340"/>
        <v>242225.08686868602</v>
      </c>
      <c r="AA538" s="507">
        <f t="shared" si="340"/>
        <v>242225.08686868602</v>
      </c>
      <c r="AB538" s="507">
        <f t="shared" si="340"/>
        <v>242225.08686868602</v>
      </c>
      <c r="AC538" s="507">
        <f t="shared" si="340"/>
        <v>242225.08686868602</v>
      </c>
      <c r="AD538" s="507">
        <f t="shared" si="340"/>
        <v>242225.08686868602</v>
      </c>
      <c r="AE538" s="507">
        <f t="shared" si="340"/>
        <v>242225.08686868602</v>
      </c>
      <c r="AF538" s="507">
        <f t="shared" si="340"/>
        <v>242225.08686868602</v>
      </c>
      <c r="AG538" s="507">
        <f t="shared" si="340"/>
        <v>242225.08686868602</v>
      </c>
      <c r="AH538" s="507">
        <f t="shared" si="340"/>
        <v>242225.08686868602</v>
      </c>
      <c r="AI538" s="535">
        <f t="shared" si="331"/>
        <v>5325034.0941952299</v>
      </c>
      <c r="AJ538" s="535">
        <f t="shared" si="332"/>
        <v>7835884.5568770394</v>
      </c>
      <c r="AK538" s="538">
        <f t="shared" si="333"/>
        <v>10258135.425563904</v>
      </c>
    </row>
    <row r="539" spans="1:37" ht="11.5" thickBot="1" x14ac:dyDescent="0.25">
      <c r="A539" s="505" t="s">
        <v>1074</v>
      </c>
      <c r="B539" s="478"/>
      <c r="C539" s="465" t="s">
        <v>1050</v>
      </c>
      <c r="D539" s="507">
        <f t="shared" ref="D539:AH539" si="341">D467+D468</f>
        <v>0</v>
      </c>
      <c r="E539" s="1272">
        <f t="shared" si="341"/>
        <v>2499554.7740895622</v>
      </c>
      <c r="F539" s="507">
        <f t="shared" si="341"/>
        <v>2374577.0353850839</v>
      </c>
      <c r="G539" s="507">
        <f t="shared" si="341"/>
        <v>2249599.296680606</v>
      </c>
      <c r="H539" s="507">
        <f t="shared" si="341"/>
        <v>2124621.5579761276</v>
      </c>
      <c r="I539" s="507">
        <f t="shared" si="341"/>
        <v>1999643.8192716497</v>
      </c>
      <c r="J539" s="507">
        <f t="shared" si="341"/>
        <v>1874666.0805671713</v>
      </c>
      <c r="K539" s="507">
        <f t="shared" si="341"/>
        <v>1749688.3418626934</v>
      </c>
      <c r="L539" s="507">
        <f t="shared" si="341"/>
        <v>1624710.6031582155</v>
      </c>
      <c r="M539" s="507">
        <f t="shared" si="341"/>
        <v>1499732.8644537372</v>
      </c>
      <c r="N539" s="507">
        <f t="shared" si="341"/>
        <v>1374755.1257492593</v>
      </c>
      <c r="O539" s="507">
        <f t="shared" si="341"/>
        <v>1249777.3870447811</v>
      </c>
      <c r="P539" s="507">
        <f t="shared" si="341"/>
        <v>1124799.648340303</v>
      </c>
      <c r="Q539" s="507">
        <f t="shared" si="341"/>
        <v>999821.90963582485</v>
      </c>
      <c r="R539" s="507">
        <f t="shared" si="341"/>
        <v>874844.17093134671</v>
      </c>
      <c r="S539" s="507">
        <f t="shared" si="341"/>
        <v>749866.43222686858</v>
      </c>
      <c r="T539" s="507">
        <f t="shared" si="341"/>
        <v>624888.69352239056</v>
      </c>
      <c r="U539" s="507">
        <f t="shared" si="341"/>
        <v>499910.95481791242</v>
      </c>
      <c r="V539" s="507">
        <f t="shared" si="341"/>
        <v>374933.21611343429</v>
      </c>
      <c r="W539" s="507">
        <f t="shared" si="341"/>
        <v>249955.47740895621</v>
      </c>
      <c r="X539" s="507">
        <f t="shared" si="341"/>
        <v>124977.73870447811</v>
      </c>
      <c r="Y539" s="507">
        <f t="shared" si="341"/>
        <v>0</v>
      </c>
      <c r="Z539" s="507">
        <f t="shared" si="341"/>
        <v>0</v>
      </c>
      <c r="AA539" s="507">
        <f t="shared" si="341"/>
        <v>0</v>
      </c>
      <c r="AB539" s="507">
        <f t="shared" si="341"/>
        <v>0</v>
      </c>
      <c r="AC539" s="507">
        <f t="shared" si="341"/>
        <v>0</v>
      </c>
      <c r="AD539" s="507">
        <f t="shared" si="341"/>
        <v>0</v>
      </c>
      <c r="AE539" s="507">
        <f t="shared" si="341"/>
        <v>0</v>
      </c>
      <c r="AF539" s="507">
        <f t="shared" si="341"/>
        <v>0</v>
      </c>
      <c r="AG539" s="507">
        <f t="shared" si="341"/>
        <v>0</v>
      </c>
      <c r="AH539" s="507">
        <f t="shared" si="341"/>
        <v>0</v>
      </c>
      <c r="AI539" s="536">
        <f>SUM(D539:N539)</f>
        <v>19371549.499194108</v>
      </c>
      <c r="AJ539" s="536">
        <f>SUM(D539:X539)</f>
        <v>26245325.127940401</v>
      </c>
      <c r="AK539" s="540">
        <f>SUM(D539:AH539)</f>
        <v>26245325.127940401</v>
      </c>
    </row>
    <row r="540" spans="1:37" ht="11.5" thickBot="1" x14ac:dyDescent="0.25">
      <c r="A540" s="522" t="s">
        <v>275</v>
      </c>
      <c r="B540" s="523"/>
      <c r="C540" s="524"/>
      <c r="D540" s="598">
        <f t="shared" ref="D540:AK540" si="342">SUM(D526:D530,D533:D539)</f>
        <v>-603326077.5122304</v>
      </c>
      <c r="E540" s="525">
        <f>SUM(E526:E530,E533:E539)</f>
        <v>98813231.309682429</v>
      </c>
      <c r="F540" s="525">
        <f>SUM(F526:F530,F533:F539)</f>
        <v>98221236.468753114</v>
      </c>
      <c r="G540" s="525">
        <f t="shared" si="342"/>
        <v>122629241.62782378</v>
      </c>
      <c r="H540" s="525">
        <f t="shared" si="342"/>
        <v>97037246.78689447</v>
      </c>
      <c r="I540" s="525">
        <f t="shared" si="342"/>
        <v>96445251.945965141</v>
      </c>
      <c r="J540" s="525">
        <f t="shared" si="342"/>
        <v>95853257.105035812</v>
      </c>
      <c r="K540" s="525">
        <f t="shared" si="342"/>
        <v>95261262.264106467</v>
      </c>
      <c r="L540" s="525">
        <f t="shared" si="342"/>
        <v>94669267.423177138</v>
      </c>
      <c r="M540" s="525">
        <f t="shared" si="342"/>
        <v>94077272.582247794</v>
      </c>
      <c r="N540" s="525">
        <f t="shared" si="342"/>
        <v>93485277.741318479</v>
      </c>
      <c r="O540" s="525">
        <f t="shared" si="342"/>
        <v>92893282.900389165</v>
      </c>
      <c r="P540" s="525">
        <f t="shared" si="342"/>
        <v>92301288.05945982</v>
      </c>
      <c r="Q540" s="525">
        <f t="shared" si="342"/>
        <v>91709293.218530521</v>
      </c>
      <c r="R540" s="525">
        <f t="shared" si="342"/>
        <v>91117298.377601206</v>
      </c>
      <c r="S540" s="525">
        <f t="shared" si="342"/>
        <v>90525303.536671862</v>
      </c>
      <c r="T540" s="525">
        <f t="shared" si="342"/>
        <v>85702263.709085181</v>
      </c>
      <c r="U540" s="525">
        <f t="shared" si="342"/>
        <v>85657560.290467739</v>
      </c>
      <c r="V540" s="525">
        <f t="shared" si="342"/>
        <v>85612856.871850282</v>
      </c>
      <c r="W540" s="525">
        <f t="shared" si="342"/>
        <v>85568153.453232825</v>
      </c>
      <c r="X540" s="525">
        <f t="shared" si="342"/>
        <v>85523450.034615338</v>
      </c>
      <c r="Y540" s="525">
        <f t="shared" si="342"/>
        <v>110478746.61599791</v>
      </c>
      <c r="Z540" s="525">
        <f t="shared" si="342"/>
        <v>110406734.58674635</v>
      </c>
      <c r="AA540" s="525">
        <f t="shared" si="342"/>
        <v>110334722.55749479</v>
      </c>
      <c r="AB540" s="525">
        <f t="shared" si="342"/>
        <v>110262710.52824323</v>
      </c>
      <c r="AC540" s="525">
        <f t="shared" si="342"/>
        <v>110190698.49899167</v>
      </c>
      <c r="AD540" s="525">
        <f t="shared" si="342"/>
        <v>110118686.46974011</v>
      </c>
      <c r="AE540" s="525">
        <f t="shared" si="342"/>
        <v>110046674.44048855</v>
      </c>
      <c r="AF540" s="525">
        <f t="shared" si="342"/>
        <v>109974662.41123697</v>
      </c>
      <c r="AG540" s="525">
        <f t="shared" si="342"/>
        <v>109902650.38198541</v>
      </c>
      <c r="AH540" s="525">
        <f t="shared" si="342"/>
        <v>109830638.35273387</v>
      </c>
      <c r="AI540" s="536">
        <f t="shared" si="342"/>
        <v>371689437.10518837</v>
      </c>
      <c r="AJ540" s="536">
        <f t="shared" si="342"/>
        <v>1252198340.531498</v>
      </c>
      <c r="AK540" s="540">
        <f t="shared" si="342"/>
        <v>2347643418.3495622</v>
      </c>
    </row>
    <row r="541" spans="1:37" ht="11.5" thickBot="1" x14ac:dyDescent="0.25">
      <c r="E541" s="527"/>
      <c r="F541" s="527"/>
      <c r="G541" s="527"/>
      <c r="H541" s="527"/>
      <c r="I541" s="527"/>
      <c r="J541" s="527"/>
      <c r="K541" s="527"/>
      <c r="L541" s="527"/>
      <c r="M541" s="527"/>
      <c r="N541" s="527"/>
      <c r="O541" s="527"/>
      <c r="P541" s="527"/>
      <c r="Q541" s="527"/>
      <c r="R541" s="527"/>
      <c r="S541" s="527"/>
      <c r="T541" s="527"/>
      <c r="U541" s="527"/>
      <c r="V541" s="527"/>
      <c r="W541" s="527"/>
      <c r="X541" s="527"/>
      <c r="Y541" s="527"/>
      <c r="Z541" s="527"/>
      <c r="AA541" s="527"/>
      <c r="AB541" s="527"/>
      <c r="AC541" s="527"/>
      <c r="AD541" s="527"/>
      <c r="AE541" s="527"/>
      <c r="AF541" s="527"/>
      <c r="AG541" s="527"/>
      <c r="AH541" s="527"/>
      <c r="AI541" s="536"/>
      <c r="AJ541" s="536"/>
      <c r="AK541" s="540"/>
    </row>
    <row r="542" spans="1:37" ht="12" thickBot="1" x14ac:dyDescent="0.3">
      <c r="A542" s="459"/>
      <c r="B542" s="521" t="s">
        <v>274</v>
      </c>
      <c r="C542" s="460"/>
      <c r="D542" s="594" t="s">
        <v>628</v>
      </c>
      <c r="E542" s="461" t="s">
        <v>629</v>
      </c>
      <c r="F542" s="461" t="s">
        <v>630</v>
      </c>
      <c r="G542" s="461" t="s">
        <v>631</v>
      </c>
      <c r="H542" s="461" t="s">
        <v>632</v>
      </c>
      <c r="I542" s="461" t="s">
        <v>633</v>
      </c>
      <c r="J542" s="461" t="s">
        <v>634</v>
      </c>
      <c r="K542" s="461" t="s">
        <v>635</v>
      </c>
      <c r="L542" s="461" t="s">
        <v>636</v>
      </c>
      <c r="M542" s="461" t="s">
        <v>637</v>
      </c>
      <c r="N542" s="461" t="s">
        <v>638</v>
      </c>
      <c r="O542" s="461" t="s">
        <v>639</v>
      </c>
      <c r="P542" s="461" t="s">
        <v>640</v>
      </c>
      <c r="Q542" s="461" t="s">
        <v>641</v>
      </c>
      <c r="R542" s="461" t="s">
        <v>642</v>
      </c>
      <c r="S542" s="461" t="s">
        <v>643</v>
      </c>
      <c r="T542" s="461" t="s">
        <v>644</v>
      </c>
      <c r="U542" s="461" t="s">
        <v>645</v>
      </c>
      <c r="V542" s="461" t="s">
        <v>646</v>
      </c>
      <c r="W542" s="461" t="s">
        <v>647</v>
      </c>
      <c r="X542" s="462" t="s">
        <v>648</v>
      </c>
      <c r="Y542" s="462" t="s">
        <v>649</v>
      </c>
      <c r="Z542" s="462" t="s">
        <v>650</v>
      </c>
      <c r="AA542" s="462" t="s">
        <v>651</v>
      </c>
      <c r="AB542" s="462" t="s">
        <v>652</v>
      </c>
      <c r="AC542" s="462" t="s">
        <v>653</v>
      </c>
      <c r="AD542" s="462" t="s">
        <v>654</v>
      </c>
      <c r="AE542" s="462" t="s">
        <v>655</v>
      </c>
      <c r="AF542" s="462" t="s">
        <v>656</v>
      </c>
      <c r="AG542" s="462" t="s">
        <v>657</v>
      </c>
      <c r="AH542" s="476" t="s">
        <v>658</v>
      </c>
      <c r="AI542" s="534" t="s">
        <v>306</v>
      </c>
      <c r="AJ542" s="537" t="s">
        <v>270</v>
      </c>
      <c r="AK542" s="539" t="s">
        <v>271</v>
      </c>
    </row>
    <row r="543" spans="1:37" x14ac:dyDescent="0.2">
      <c r="A543" s="505"/>
      <c r="B543" s="478" t="s">
        <v>1145</v>
      </c>
      <c r="C543" s="921" t="s">
        <v>665</v>
      </c>
      <c r="D543" s="507">
        <f>計算シート!C249</f>
        <v>-1563.6897780339068</v>
      </c>
      <c r="E543" s="507">
        <f>計算シート!D249</f>
        <v>92.318723946092945</v>
      </c>
      <c r="F543" s="507">
        <f>計算シート!E249</f>
        <v>93.90733084921979</v>
      </c>
      <c r="G543" s="507">
        <f>計算シート!F249</f>
        <v>95.495937752346649</v>
      </c>
      <c r="H543" s="507">
        <f>計算シート!G249</f>
        <v>97.084544655473508</v>
      </c>
      <c r="I543" s="507">
        <f>計算シート!H249</f>
        <v>98.673151558600367</v>
      </c>
      <c r="J543" s="507">
        <f>計算シート!I249</f>
        <v>100.26175846172723</v>
      </c>
      <c r="K543" s="507">
        <f>計算シート!J249</f>
        <v>101.85036536485408</v>
      </c>
      <c r="L543" s="507">
        <f>計算シート!K249</f>
        <v>103.43897226798094</v>
      </c>
      <c r="M543" s="507">
        <f>計算シート!L249</f>
        <v>105.02757917110779</v>
      </c>
      <c r="N543" s="507">
        <f>計算シート!M249</f>
        <v>106.61618607423466</v>
      </c>
      <c r="O543" s="507">
        <f>計算シート!N249</f>
        <v>108.20479297736151</v>
      </c>
      <c r="P543" s="507">
        <f>計算シート!O249</f>
        <v>109.79339988048838</v>
      </c>
      <c r="Q543" s="507">
        <f>計算シート!P249</f>
        <v>111.38200678361522</v>
      </c>
      <c r="R543" s="507">
        <f>計算シート!Q249</f>
        <v>112.97061368674208</v>
      </c>
      <c r="S543" s="507">
        <f>計算シート!R249</f>
        <v>114.55922058986894</v>
      </c>
      <c r="T543" s="507">
        <f>計算シート!S249</f>
        <v>92.692480822487198</v>
      </c>
      <c r="U543" s="507">
        <f>計算シート!T249</f>
        <v>93.186504880990327</v>
      </c>
      <c r="V543" s="507">
        <f>計算シート!U249</f>
        <v>93.680528939493456</v>
      </c>
      <c r="W543" s="507">
        <f>計算シート!V249</f>
        <v>94.174552997996571</v>
      </c>
      <c r="X543" s="507">
        <f>計算シート!W249</f>
        <v>94.668577056499686</v>
      </c>
      <c r="Y543" s="507">
        <f>計算シート!X249</f>
        <v>95.162601115002815</v>
      </c>
      <c r="Z543" s="507">
        <f>計算シート!Y249</f>
        <v>95.306625173505935</v>
      </c>
      <c r="AA543" s="507">
        <f>計算シート!Z249</f>
        <v>95.450649232009056</v>
      </c>
      <c r="AB543" s="507">
        <f>計算シート!AA249</f>
        <v>95.594673290512191</v>
      </c>
      <c r="AC543" s="507">
        <f>計算シート!AB249</f>
        <v>95.738697349015311</v>
      </c>
      <c r="AD543" s="507">
        <f>計算シート!AC249</f>
        <v>95.882721407518432</v>
      </c>
      <c r="AE543" s="507">
        <f>計算シート!AD249</f>
        <v>96.026745466021566</v>
      </c>
      <c r="AF543" s="507">
        <f>計算シート!AE249</f>
        <v>96.170769524524673</v>
      </c>
      <c r="AG543" s="507">
        <f>計算シート!AF249</f>
        <v>96.314793583027807</v>
      </c>
      <c r="AH543" s="507">
        <f>計算シート!AG249</f>
        <v>96.458817641530914</v>
      </c>
      <c r="AI543" s="535">
        <f t="shared" ref="AI543:AI550" si="343">SUM(D543:N543)</f>
        <v>-569.01522793226889</v>
      </c>
      <c r="AJ543" s="535">
        <f t="shared" ref="AJ543:AJ550" si="344">SUM(D543:X543)</f>
        <v>456.29745068327452</v>
      </c>
      <c r="AK543" s="538">
        <f t="shared" ref="AK543:AK550" si="345">SUM(D543:AH543)</f>
        <v>1414.4045444659432</v>
      </c>
    </row>
    <row r="544" spans="1:37" x14ac:dyDescent="0.2">
      <c r="A544" s="505"/>
      <c r="B544" s="478" t="s">
        <v>1145</v>
      </c>
      <c r="C544" s="921" t="s">
        <v>690</v>
      </c>
      <c r="D544" s="507">
        <f>D543*入門編_計算シート!$E$153</f>
        <v>-781.8448890169534</v>
      </c>
      <c r="E544" s="507">
        <f>E543*入門編_計算シート!$E$153</f>
        <v>46.159361973046472</v>
      </c>
      <c r="F544" s="507">
        <f>F543*入門編_計算シート!$E$153</f>
        <v>46.953665424609895</v>
      </c>
      <c r="G544" s="507">
        <f>G543*入門編_計算シート!$E$153</f>
        <v>47.747968876173324</v>
      </c>
      <c r="H544" s="507">
        <f>H543*入門編_計算シート!$E$153</f>
        <v>48.542272327736754</v>
      </c>
      <c r="I544" s="507">
        <f>I543*入門編_計算シート!$E$153</f>
        <v>49.336575779300183</v>
      </c>
      <c r="J544" s="507">
        <f>J543*入門編_計算シート!$E$153</f>
        <v>50.130879230863613</v>
      </c>
      <c r="K544" s="507">
        <f>K543*入門編_計算シート!$E$153</f>
        <v>50.925182682427042</v>
      </c>
      <c r="L544" s="507">
        <f>L543*入門編_計算シート!$E$153</f>
        <v>51.719486133990472</v>
      </c>
      <c r="M544" s="507">
        <f>M543*入門編_計算シート!$E$153</f>
        <v>52.513789585553894</v>
      </c>
      <c r="N544" s="507">
        <f>N543*入門編_計算シート!$E$153</f>
        <v>53.308093037117331</v>
      </c>
      <c r="O544" s="507">
        <f>O543*入門編_計算シート!$E$153</f>
        <v>54.102396488680753</v>
      </c>
      <c r="P544" s="507">
        <f>P543*入門編_計算シート!$E$153</f>
        <v>54.89669994024419</v>
      </c>
      <c r="Q544" s="507">
        <f>Q543*入門編_計算シート!$E$153</f>
        <v>55.691003391807612</v>
      </c>
      <c r="R544" s="507">
        <f>R543*入門編_計算シート!$E$153</f>
        <v>56.485306843371042</v>
      </c>
      <c r="S544" s="507">
        <f>S543*入門編_計算シート!$E$153</f>
        <v>57.279610294934471</v>
      </c>
      <c r="T544" s="507">
        <f>T543*入門編_計算シート!$E$153</f>
        <v>46.346240411243599</v>
      </c>
      <c r="U544" s="507">
        <f>U543*入門編_計算シート!$E$153</f>
        <v>46.593252440495164</v>
      </c>
      <c r="V544" s="507">
        <f>V543*入門編_計算シート!$E$153</f>
        <v>46.840264469746728</v>
      </c>
      <c r="W544" s="507">
        <f>W543*入門編_計算シート!$E$153</f>
        <v>47.087276498998285</v>
      </c>
      <c r="X544" s="507">
        <f>X543*入門編_計算シート!$E$153</f>
        <v>47.334288528249843</v>
      </c>
      <c r="Y544" s="507">
        <f>Y543*入門編_計算シート!$E$153</f>
        <v>47.581300557501407</v>
      </c>
      <c r="Z544" s="507">
        <f>Z543*入門編_計算シート!$E$153</f>
        <v>47.653312586752968</v>
      </c>
      <c r="AA544" s="507">
        <f>AA543*入門編_計算シート!$E$153</f>
        <v>47.725324616004528</v>
      </c>
      <c r="AB544" s="507">
        <f>AB543*入門編_計算シート!$E$153</f>
        <v>47.797336645256095</v>
      </c>
      <c r="AC544" s="507">
        <f>AC543*入門編_計算シート!$E$153</f>
        <v>47.869348674507656</v>
      </c>
      <c r="AD544" s="507">
        <f>AD543*入門編_計算シート!$E$153</f>
        <v>47.941360703759216</v>
      </c>
      <c r="AE544" s="507">
        <f>AE543*入門編_計算シート!$E$153</f>
        <v>48.013372733010783</v>
      </c>
      <c r="AF544" s="507">
        <f>AF543*入門編_計算シート!$E$153</f>
        <v>48.085384762262336</v>
      </c>
      <c r="AG544" s="507">
        <f>AG543*入門編_計算シート!$E$153</f>
        <v>48.157396791513904</v>
      </c>
      <c r="AH544" s="507">
        <f>AH543*入門編_計算シート!$E$153</f>
        <v>48.229408820765457</v>
      </c>
      <c r="AI544" s="535">
        <f t="shared" ref="AI544" si="346">SUM(D544:N544)</f>
        <v>-284.50761396613444</v>
      </c>
      <c r="AJ544" s="535">
        <f t="shared" ref="AJ544" si="347">SUM(D544:X544)</f>
        <v>228.14872534163726</v>
      </c>
      <c r="AK544" s="538">
        <f t="shared" ref="AK544" si="348">SUM(D544:AH544)</f>
        <v>707.20227223297161</v>
      </c>
    </row>
    <row r="545" spans="1:37" x14ac:dyDescent="0.2">
      <c r="A545" s="505"/>
      <c r="B545" s="478"/>
      <c r="C545" s="465" t="s">
        <v>621</v>
      </c>
      <c r="D545" s="507">
        <f t="shared" ref="D545:AH545" si="349">D531/1000000</f>
        <v>21.583838496194108</v>
      </c>
      <c r="E545" s="507">
        <f t="shared" si="349"/>
        <v>0</v>
      </c>
      <c r="F545" s="507">
        <f t="shared" si="349"/>
        <v>0</v>
      </c>
      <c r="G545" s="507">
        <f t="shared" si="349"/>
        <v>0</v>
      </c>
      <c r="H545" s="507">
        <f t="shared" si="349"/>
        <v>0</v>
      </c>
      <c r="I545" s="507">
        <f t="shared" si="349"/>
        <v>0</v>
      </c>
      <c r="J545" s="507">
        <f t="shared" si="349"/>
        <v>0</v>
      </c>
      <c r="K545" s="507">
        <f t="shared" si="349"/>
        <v>0</v>
      </c>
      <c r="L545" s="507">
        <f t="shared" si="349"/>
        <v>0</v>
      </c>
      <c r="M545" s="507">
        <f t="shared" si="349"/>
        <v>0</v>
      </c>
      <c r="N545" s="507">
        <f t="shared" si="349"/>
        <v>0</v>
      </c>
      <c r="O545" s="507">
        <f t="shared" si="349"/>
        <v>0</v>
      </c>
      <c r="P545" s="507">
        <f t="shared" si="349"/>
        <v>0</v>
      </c>
      <c r="Q545" s="507">
        <f t="shared" si="349"/>
        <v>0</v>
      </c>
      <c r="R545" s="507">
        <f t="shared" si="349"/>
        <v>0</v>
      </c>
      <c r="S545" s="507">
        <f t="shared" si="349"/>
        <v>0</v>
      </c>
      <c r="T545" s="507">
        <f t="shared" si="349"/>
        <v>0</v>
      </c>
      <c r="U545" s="507">
        <f t="shared" si="349"/>
        <v>0</v>
      </c>
      <c r="V545" s="507">
        <f t="shared" si="349"/>
        <v>0</v>
      </c>
      <c r="W545" s="507">
        <f t="shared" si="349"/>
        <v>0</v>
      </c>
      <c r="X545" s="507">
        <f t="shared" si="349"/>
        <v>0</v>
      </c>
      <c r="Y545" s="507">
        <f t="shared" si="349"/>
        <v>0</v>
      </c>
      <c r="Z545" s="507">
        <f t="shared" si="349"/>
        <v>0</v>
      </c>
      <c r="AA545" s="507">
        <f t="shared" si="349"/>
        <v>0</v>
      </c>
      <c r="AB545" s="507">
        <f t="shared" si="349"/>
        <v>0</v>
      </c>
      <c r="AC545" s="507">
        <f t="shared" si="349"/>
        <v>0</v>
      </c>
      <c r="AD545" s="507">
        <f t="shared" si="349"/>
        <v>0</v>
      </c>
      <c r="AE545" s="507">
        <f t="shared" si="349"/>
        <v>0</v>
      </c>
      <c r="AF545" s="507">
        <f t="shared" si="349"/>
        <v>0</v>
      </c>
      <c r="AG545" s="507">
        <f t="shared" si="349"/>
        <v>0</v>
      </c>
      <c r="AH545" s="507">
        <f t="shared" si="349"/>
        <v>0</v>
      </c>
      <c r="AI545" s="535">
        <f t="shared" si="343"/>
        <v>21.583838496194108</v>
      </c>
      <c r="AJ545" s="535">
        <f t="shared" si="344"/>
        <v>21.583838496194108</v>
      </c>
      <c r="AK545" s="538">
        <f t="shared" si="345"/>
        <v>21.583838496194108</v>
      </c>
    </row>
    <row r="546" spans="1:37" x14ac:dyDescent="0.2">
      <c r="A546" s="505"/>
      <c r="B546" s="478"/>
      <c r="C546" s="465" t="s">
        <v>623</v>
      </c>
      <c r="D546" s="507">
        <f t="shared" ref="D546:AH546" si="350">D532/1000000</f>
        <v>0</v>
      </c>
      <c r="E546" s="605">
        <f t="shared" si="350"/>
        <v>3.3877480037124261</v>
      </c>
      <c r="F546" s="507">
        <f t="shared" si="350"/>
        <v>3.3877480037124261</v>
      </c>
      <c r="G546" s="507">
        <f t="shared" si="350"/>
        <v>3.3877480037124261</v>
      </c>
      <c r="H546" s="507">
        <f t="shared" si="350"/>
        <v>3.3877480037124261</v>
      </c>
      <c r="I546" s="507">
        <f t="shared" si="350"/>
        <v>3.3877480037124261</v>
      </c>
      <c r="J546" s="507">
        <f t="shared" si="350"/>
        <v>3.3877480037124261</v>
      </c>
      <c r="K546" s="507">
        <f t="shared" si="350"/>
        <v>3.3877480037124261</v>
      </c>
      <c r="L546" s="507">
        <f t="shared" si="350"/>
        <v>3.3877480037124261</v>
      </c>
      <c r="M546" s="507">
        <f t="shared" si="350"/>
        <v>3.3877480037124261</v>
      </c>
      <c r="N546" s="507">
        <f t="shared" si="350"/>
        <v>3.3877480037124261</v>
      </c>
      <c r="O546" s="507">
        <f t="shared" si="350"/>
        <v>3.3877480037124261</v>
      </c>
      <c r="P546" s="507">
        <f t="shared" si="350"/>
        <v>3.3877480037124261</v>
      </c>
      <c r="Q546" s="507">
        <f t="shared" si="350"/>
        <v>3.3877480037124261</v>
      </c>
      <c r="R546" s="507">
        <f t="shared" si="350"/>
        <v>3.3877480037124261</v>
      </c>
      <c r="S546" s="507">
        <f t="shared" si="350"/>
        <v>3.3877480037124261</v>
      </c>
      <c r="T546" s="507">
        <f t="shared" si="350"/>
        <v>3.3877480037124261</v>
      </c>
      <c r="U546" s="507">
        <f t="shared" si="350"/>
        <v>3.3877480037124261</v>
      </c>
      <c r="V546" s="507">
        <f t="shared" si="350"/>
        <v>3.3877480037124261</v>
      </c>
      <c r="W546" s="507">
        <f t="shared" si="350"/>
        <v>3.3877480037124261</v>
      </c>
      <c r="X546" s="507">
        <f t="shared" si="350"/>
        <v>3.3877480037124261</v>
      </c>
      <c r="Y546" s="507">
        <f t="shared" si="350"/>
        <v>3.3877480037124261</v>
      </c>
      <c r="Z546" s="507">
        <f t="shared" si="350"/>
        <v>3.3877480037124261</v>
      </c>
      <c r="AA546" s="507">
        <f t="shared" si="350"/>
        <v>3.3877480037124261</v>
      </c>
      <c r="AB546" s="507">
        <f t="shared" si="350"/>
        <v>3.3877480037124261</v>
      </c>
      <c r="AC546" s="507">
        <f t="shared" si="350"/>
        <v>3.3877480037124261</v>
      </c>
      <c r="AD546" s="507">
        <f t="shared" si="350"/>
        <v>3.3877480037124261</v>
      </c>
      <c r="AE546" s="507">
        <f t="shared" si="350"/>
        <v>3.3877480037124261</v>
      </c>
      <c r="AF546" s="507">
        <f t="shared" si="350"/>
        <v>3.3877480037124261</v>
      </c>
      <c r="AG546" s="507">
        <f t="shared" si="350"/>
        <v>3.3877480037124261</v>
      </c>
      <c r="AH546" s="507">
        <f t="shared" si="350"/>
        <v>3.3877480037124261</v>
      </c>
      <c r="AI546" s="535">
        <f t="shared" si="343"/>
        <v>33.877480037124251</v>
      </c>
      <c r="AJ546" s="535">
        <f t="shared" si="344"/>
        <v>67.754960074248501</v>
      </c>
      <c r="AK546" s="538">
        <f t="shared" si="345"/>
        <v>101.63244011137282</v>
      </c>
    </row>
    <row r="547" spans="1:37" x14ac:dyDescent="0.2">
      <c r="A547" s="505"/>
      <c r="B547" s="478"/>
      <c r="C547" s="465" t="s">
        <v>624</v>
      </c>
      <c r="D547" s="507">
        <f t="shared" ref="D547:AH547" si="351">(D529+D527)/1000000</f>
        <v>54.676690528697137</v>
      </c>
      <c r="E547" s="605">
        <f t="shared" si="351"/>
        <v>30.62722106954946</v>
      </c>
      <c r="F547" s="507">
        <f t="shared" si="351"/>
        <v>30.62722106954946</v>
      </c>
      <c r="G547" s="507">
        <f t="shared" si="351"/>
        <v>30.62722106954946</v>
      </c>
      <c r="H547" s="507">
        <f t="shared" si="351"/>
        <v>30.62722106954946</v>
      </c>
      <c r="I547" s="507">
        <f t="shared" si="351"/>
        <v>30.62722106954946</v>
      </c>
      <c r="J547" s="507">
        <f t="shared" si="351"/>
        <v>30.62722106954946</v>
      </c>
      <c r="K547" s="507">
        <f t="shared" si="351"/>
        <v>30.62722106954946</v>
      </c>
      <c r="L547" s="507">
        <f t="shared" si="351"/>
        <v>30.62722106954946</v>
      </c>
      <c r="M547" s="507">
        <f t="shared" si="351"/>
        <v>30.62722106954946</v>
      </c>
      <c r="N547" s="507">
        <f t="shared" si="351"/>
        <v>30.62722106954946</v>
      </c>
      <c r="O547" s="507">
        <f t="shared" si="351"/>
        <v>30.62722106954946</v>
      </c>
      <c r="P547" s="507">
        <f t="shared" si="351"/>
        <v>30.62722106954946</v>
      </c>
      <c r="Q547" s="507">
        <f t="shared" si="351"/>
        <v>30.62722106954946</v>
      </c>
      <c r="R547" s="507">
        <f t="shared" si="351"/>
        <v>30.62722106954946</v>
      </c>
      <c r="S547" s="507">
        <f t="shared" si="351"/>
        <v>30.62722106954946</v>
      </c>
      <c r="T547" s="507">
        <f t="shared" si="351"/>
        <v>30.62722106954946</v>
      </c>
      <c r="U547" s="507">
        <f t="shared" si="351"/>
        <v>30.62722106954946</v>
      </c>
      <c r="V547" s="507">
        <f t="shared" si="351"/>
        <v>30.62722106954946</v>
      </c>
      <c r="W547" s="507">
        <f t="shared" si="351"/>
        <v>30.62722106954946</v>
      </c>
      <c r="X547" s="507">
        <f t="shared" si="351"/>
        <v>30.62722106954946</v>
      </c>
      <c r="Y547" s="507">
        <f t="shared" si="351"/>
        <v>30.62722106954946</v>
      </c>
      <c r="Z547" s="507">
        <f t="shared" si="351"/>
        <v>30.62722106954946</v>
      </c>
      <c r="AA547" s="507">
        <f t="shared" si="351"/>
        <v>30.62722106954946</v>
      </c>
      <c r="AB547" s="507">
        <f t="shared" si="351"/>
        <v>30.62722106954946</v>
      </c>
      <c r="AC547" s="507">
        <f t="shared" si="351"/>
        <v>30.62722106954946</v>
      </c>
      <c r="AD547" s="507">
        <f t="shared" si="351"/>
        <v>30.62722106954946</v>
      </c>
      <c r="AE547" s="507">
        <f t="shared" si="351"/>
        <v>30.62722106954946</v>
      </c>
      <c r="AF547" s="507">
        <f t="shared" si="351"/>
        <v>30.62722106954946</v>
      </c>
      <c r="AG547" s="507">
        <f t="shared" si="351"/>
        <v>30.62722106954946</v>
      </c>
      <c r="AH547" s="507">
        <f t="shared" si="351"/>
        <v>30.62722106954946</v>
      </c>
      <c r="AI547" s="535">
        <f t="shared" si="343"/>
        <v>360.94890122419179</v>
      </c>
      <c r="AJ547" s="535">
        <f t="shared" si="344"/>
        <v>667.22111191968656</v>
      </c>
      <c r="AK547" s="538">
        <f t="shared" si="345"/>
        <v>973.49332261518134</v>
      </c>
    </row>
    <row r="548" spans="1:37" x14ac:dyDescent="0.2">
      <c r="A548" s="505"/>
      <c r="B548" s="478"/>
      <c r="C548" s="465" t="s">
        <v>625</v>
      </c>
      <c r="D548" s="507">
        <f>(D534+D533)/1000000</f>
        <v>21.95821674765779</v>
      </c>
      <c r="E548" s="605">
        <f t="shared" ref="E548:AH548" si="352">(E534+E533)/1000000</f>
        <v>31.357070356801419</v>
      </c>
      <c r="F548" s="507">
        <f t="shared" si="352"/>
        <v>30.120958196566374</v>
      </c>
      <c r="G548" s="507">
        <f t="shared" si="352"/>
        <v>28.884846036331318</v>
      </c>
      <c r="H548" s="507">
        <f t="shared" si="352"/>
        <v>27.648733876096269</v>
      </c>
      <c r="I548" s="507">
        <f t="shared" si="352"/>
        <v>26.412621715861217</v>
      </c>
      <c r="J548" s="507">
        <f t="shared" si="352"/>
        <v>25.176509555626158</v>
      </c>
      <c r="K548" s="507">
        <f t="shared" si="352"/>
        <v>23.940397395391109</v>
      </c>
      <c r="L548" s="507">
        <f t="shared" si="352"/>
        <v>22.704285235156057</v>
      </c>
      <c r="M548" s="507">
        <f t="shared" si="352"/>
        <v>21.468173074921008</v>
      </c>
      <c r="N548" s="507">
        <f t="shared" si="352"/>
        <v>20.232060914685956</v>
      </c>
      <c r="O548" s="507">
        <f t="shared" si="352"/>
        <v>18.995948754450904</v>
      </c>
      <c r="P548" s="507">
        <f t="shared" si="352"/>
        <v>17.759836594215855</v>
      </c>
      <c r="Q548" s="507">
        <f t="shared" si="352"/>
        <v>16.523724433980799</v>
      </c>
      <c r="R548" s="507">
        <f t="shared" si="352"/>
        <v>15.287612273745749</v>
      </c>
      <c r="S548" s="507">
        <f t="shared" si="352"/>
        <v>14.051500113510698</v>
      </c>
      <c r="T548" s="507">
        <f t="shared" si="352"/>
        <v>16.080971315215272</v>
      </c>
      <c r="U548" s="507">
        <f t="shared" si="352"/>
        <v>15.939441999603957</v>
      </c>
      <c r="V548" s="507">
        <f t="shared" si="352"/>
        <v>15.797912683992639</v>
      </c>
      <c r="W548" s="507">
        <f t="shared" si="352"/>
        <v>15.656383368381322</v>
      </c>
      <c r="X548" s="507">
        <f t="shared" si="352"/>
        <v>15.514854052770005</v>
      </c>
      <c r="Y548" s="507">
        <f t="shared" si="352"/>
        <v>15.37332473715869</v>
      </c>
      <c r="Z548" s="507">
        <f t="shared" si="352"/>
        <v>15.229300678655564</v>
      </c>
      <c r="AA548" s="507">
        <f t="shared" si="352"/>
        <v>15.085276620152444</v>
      </c>
      <c r="AB548" s="507">
        <f t="shared" si="352"/>
        <v>14.941252561649319</v>
      </c>
      <c r="AC548" s="507">
        <f t="shared" si="352"/>
        <v>14.797228503146197</v>
      </c>
      <c r="AD548" s="507">
        <f t="shared" si="352"/>
        <v>14.653204444643073</v>
      </c>
      <c r="AE548" s="507">
        <f t="shared" si="352"/>
        <v>14.509180386139951</v>
      </c>
      <c r="AF548" s="507">
        <f t="shared" si="352"/>
        <v>14.365156327636827</v>
      </c>
      <c r="AG548" s="507">
        <f t="shared" si="352"/>
        <v>14.221132269133706</v>
      </c>
      <c r="AH548" s="507">
        <f t="shared" si="352"/>
        <v>14.07710821063058</v>
      </c>
      <c r="AI548" s="535">
        <f t="shared" si="343"/>
        <v>279.90387310509465</v>
      </c>
      <c r="AJ548" s="535">
        <f t="shared" si="344"/>
        <v>441.51205869496198</v>
      </c>
      <c r="AK548" s="538">
        <f t="shared" si="345"/>
        <v>588.76422343390834</v>
      </c>
    </row>
    <row r="549" spans="1:37" x14ac:dyDescent="0.2">
      <c r="A549" s="505"/>
      <c r="B549" s="478"/>
      <c r="C549" s="465" t="s">
        <v>676</v>
      </c>
      <c r="D549" s="507">
        <f>D539/1000000</f>
        <v>0</v>
      </c>
      <c r="E549" s="507">
        <f t="shared" ref="E549:AH549" si="353">E539/1000000</f>
        <v>2.4995547740895621</v>
      </c>
      <c r="F549" s="507">
        <f t="shared" si="353"/>
        <v>2.3745770353850837</v>
      </c>
      <c r="G549" s="507">
        <f t="shared" si="353"/>
        <v>2.2495992966806058</v>
      </c>
      <c r="H549" s="507">
        <f t="shared" si="353"/>
        <v>2.1246215579761274</v>
      </c>
      <c r="I549" s="507">
        <f t="shared" si="353"/>
        <v>1.9996438192716497</v>
      </c>
      <c r="J549" s="507">
        <f t="shared" si="353"/>
        <v>1.8746660805671713</v>
      </c>
      <c r="K549" s="507">
        <f t="shared" si="353"/>
        <v>1.7496883418626934</v>
      </c>
      <c r="L549" s="507">
        <f t="shared" si="353"/>
        <v>1.6247106031582155</v>
      </c>
      <c r="M549" s="507">
        <f t="shared" si="353"/>
        <v>1.4997328644537371</v>
      </c>
      <c r="N549" s="507">
        <f t="shared" si="353"/>
        <v>1.3747551257492592</v>
      </c>
      <c r="O549" s="507">
        <f t="shared" si="353"/>
        <v>1.249777387044781</v>
      </c>
      <c r="P549" s="507">
        <f t="shared" si="353"/>
        <v>1.1247996483403029</v>
      </c>
      <c r="Q549" s="507">
        <f t="shared" si="353"/>
        <v>0.99982190963582485</v>
      </c>
      <c r="R549" s="507">
        <f t="shared" si="353"/>
        <v>0.8748441709313467</v>
      </c>
      <c r="S549" s="507">
        <f t="shared" si="353"/>
        <v>0.74986643222686855</v>
      </c>
      <c r="T549" s="507">
        <f t="shared" si="353"/>
        <v>0.62488869352239051</v>
      </c>
      <c r="U549" s="507">
        <f t="shared" si="353"/>
        <v>0.49991095481791242</v>
      </c>
      <c r="V549" s="507">
        <f t="shared" si="353"/>
        <v>0.37493321611343428</v>
      </c>
      <c r="W549" s="507">
        <f t="shared" si="353"/>
        <v>0.24995547740895621</v>
      </c>
      <c r="X549" s="507">
        <f t="shared" si="353"/>
        <v>0.12497773870447811</v>
      </c>
      <c r="Y549" s="507">
        <f t="shared" si="353"/>
        <v>0</v>
      </c>
      <c r="Z549" s="507">
        <f t="shared" si="353"/>
        <v>0</v>
      </c>
      <c r="AA549" s="507">
        <f t="shared" si="353"/>
        <v>0</v>
      </c>
      <c r="AB549" s="507">
        <f t="shared" si="353"/>
        <v>0</v>
      </c>
      <c r="AC549" s="507">
        <f t="shared" si="353"/>
        <v>0</v>
      </c>
      <c r="AD549" s="507">
        <f t="shared" si="353"/>
        <v>0</v>
      </c>
      <c r="AE549" s="507">
        <f t="shared" si="353"/>
        <v>0</v>
      </c>
      <c r="AF549" s="507">
        <f t="shared" si="353"/>
        <v>0</v>
      </c>
      <c r="AG549" s="507">
        <f t="shared" si="353"/>
        <v>0</v>
      </c>
      <c r="AH549" s="507">
        <f t="shared" si="353"/>
        <v>0</v>
      </c>
      <c r="AI549" s="535">
        <f t="shared" ref="AI549" si="354">SUM(D549:N549)</f>
        <v>19.371549499194106</v>
      </c>
      <c r="AJ549" s="535">
        <f t="shared" ref="AJ549" si="355">SUM(D549:X549)</f>
        <v>26.245325127940401</v>
      </c>
      <c r="AK549" s="538">
        <f t="shared" ref="AK549" si="356">SUM(D549:AH549)</f>
        <v>26.245325127940401</v>
      </c>
    </row>
    <row r="550" spans="1:37" x14ac:dyDescent="0.2">
      <c r="A550" s="505"/>
      <c r="B550" s="478"/>
      <c r="C550" s="465" t="s">
        <v>674</v>
      </c>
      <c r="D550" s="507">
        <v>0</v>
      </c>
      <c r="E550" s="605">
        <f>入門編_計算シート!$C$205/10</f>
        <v>0</v>
      </c>
      <c r="F550" s="507">
        <f>入門編_計算シート!$C$205/10</f>
        <v>0</v>
      </c>
      <c r="G550" s="507">
        <f>入門編_計算シート!$C$205/10</f>
        <v>0</v>
      </c>
      <c r="H550" s="507">
        <f>入門編_計算シート!$C$205/10</f>
        <v>0</v>
      </c>
      <c r="I550" s="507">
        <f>入門編_計算シート!$C$205/10</f>
        <v>0</v>
      </c>
      <c r="J550" s="507">
        <f>入門編_計算シート!$C$205/10</f>
        <v>0</v>
      </c>
      <c r="K550" s="507">
        <f>入門編_計算シート!$C$205/10</f>
        <v>0</v>
      </c>
      <c r="L550" s="507">
        <f>入門編_計算シート!$C$205/10</f>
        <v>0</v>
      </c>
      <c r="M550" s="507">
        <f>入門編_計算シート!$C$205/10</f>
        <v>0</v>
      </c>
      <c r="N550" s="507">
        <f>入門編_計算シート!$C$205/10</f>
        <v>0</v>
      </c>
      <c r="O550" s="507">
        <f>入門編_計算シート!$C$205/10</f>
        <v>0</v>
      </c>
      <c r="P550" s="507">
        <f>入門編_計算シート!$C$205/10</f>
        <v>0</v>
      </c>
      <c r="Q550" s="507">
        <f>入門編_計算シート!$C$205/10</f>
        <v>0</v>
      </c>
      <c r="R550" s="507">
        <f>入門編_計算シート!$C$205/10</f>
        <v>0</v>
      </c>
      <c r="S550" s="507">
        <f>入門編_計算シート!$C$205/10</f>
        <v>0</v>
      </c>
      <c r="T550" s="507">
        <f>入門編_計算シート!$C$205/10</f>
        <v>0</v>
      </c>
      <c r="U550" s="507">
        <f>入門編_計算シート!$C$205/10</f>
        <v>0</v>
      </c>
      <c r="V550" s="507">
        <f>入門編_計算シート!$C$205/10</f>
        <v>0</v>
      </c>
      <c r="W550" s="507">
        <f>入門編_計算シート!$C$205/10</f>
        <v>0</v>
      </c>
      <c r="X550" s="507">
        <f>入門編_計算シート!$C$205/10</f>
        <v>0</v>
      </c>
      <c r="Y550" s="507">
        <f>入門編_計算シート!$C$205/10</f>
        <v>0</v>
      </c>
      <c r="Z550" s="507">
        <f>入門編_計算シート!$C$205/10</f>
        <v>0</v>
      </c>
      <c r="AA550" s="507">
        <f>入門編_計算シート!$C$205/10</f>
        <v>0</v>
      </c>
      <c r="AB550" s="507">
        <f>入門編_計算シート!$C$205/10</f>
        <v>0</v>
      </c>
      <c r="AC550" s="507">
        <f>入門編_計算シート!$C$205/10</f>
        <v>0</v>
      </c>
      <c r="AD550" s="507">
        <f>入門編_計算シート!$C$205/10</f>
        <v>0</v>
      </c>
      <c r="AE550" s="507">
        <f>入門編_計算シート!$C$205/10</f>
        <v>0</v>
      </c>
      <c r="AF550" s="507">
        <f>入門編_計算シート!$C$205/10</f>
        <v>0</v>
      </c>
      <c r="AG550" s="507">
        <f>入門編_計算シート!$C$205/10</f>
        <v>0</v>
      </c>
      <c r="AH550" s="507">
        <f>入門編_計算シート!$C$205/10</f>
        <v>0</v>
      </c>
      <c r="AI550" s="535">
        <f t="shared" si="343"/>
        <v>0</v>
      </c>
      <c r="AJ550" s="535">
        <f t="shared" si="344"/>
        <v>0</v>
      </c>
      <c r="AK550" s="538">
        <f t="shared" si="345"/>
        <v>0</v>
      </c>
    </row>
    <row r="551" spans="1:37" ht="11.5" thickBot="1" x14ac:dyDescent="0.25">
      <c r="A551" s="505"/>
      <c r="B551" s="478"/>
      <c r="C551" s="465" t="s">
        <v>679</v>
      </c>
      <c r="D551" s="507">
        <v>0</v>
      </c>
      <c r="E551" s="605">
        <f>入門編_計算シート!$C$209/10</f>
        <v>0</v>
      </c>
      <c r="F551" s="507">
        <f>入門編_計算シート!$C$209/10</f>
        <v>0</v>
      </c>
      <c r="G551" s="507">
        <f>入門編_計算シート!$C$209/10</f>
        <v>0</v>
      </c>
      <c r="H551" s="507">
        <f>入門編_計算シート!$C$209/10</f>
        <v>0</v>
      </c>
      <c r="I551" s="507">
        <f>入門編_計算シート!$C$209/10</f>
        <v>0</v>
      </c>
      <c r="J551" s="507">
        <f>入門編_計算シート!$C$209/10</f>
        <v>0</v>
      </c>
      <c r="K551" s="507">
        <f>入門編_計算シート!$C$209/10</f>
        <v>0</v>
      </c>
      <c r="L551" s="507">
        <f>入門編_計算シート!$C$209/10</f>
        <v>0</v>
      </c>
      <c r="M551" s="507">
        <f>入門編_計算シート!$C$209/10</f>
        <v>0</v>
      </c>
      <c r="N551" s="507">
        <f>入門編_計算シート!$C$209/10</f>
        <v>0</v>
      </c>
      <c r="O551" s="507">
        <f>入門編_計算シート!$C$209/10</f>
        <v>0</v>
      </c>
      <c r="P551" s="507">
        <f>入門編_計算シート!$C$209/10</f>
        <v>0</v>
      </c>
      <c r="Q551" s="507">
        <f>入門編_計算シート!$C$209/10</f>
        <v>0</v>
      </c>
      <c r="R551" s="507">
        <f>入門編_計算シート!$C$209/10</f>
        <v>0</v>
      </c>
      <c r="S551" s="507">
        <f>入門編_計算シート!$C$209/10</f>
        <v>0</v>
      </c>
      <c r="T551" s="507">
        <f>入門編_計算シート!$C$209/10</f>
        <v>0</v>
      </c>
      <c r="U551" s="507">
        <f>入門編_計算シート!$C$209/10</f>
        <v>0</v>
      </c>
      <c r="V551" s="507">
        <f>入門編_計算シート!$C$209/10</f>
        <v>0</v>
      </c>
      <c r="W551" s="507">
        <f>入門編_計算シート!$C$209/10</f>
        <v>0</v>
      </c>
      <c r="X551" s="507">
        <f>入門編_計算シート!$C$209/10</f>
        <v>0</v>
      </c>
      <c r="Y551" s="507">
        <f>入門編_計算シート!$C$209/10</f>
        <v>0</v>
      </c>
      <c r="Z551" s="507">
        <f>入門編_計算シート!$C$209/10</f>
        <v>0</v>
      </c>
      <c r="AA551" s="507">
        <f>入門編_計算シート!$C$209/10</f>
        <v>0</v>
      </c>
      <c r="AB551" s="507">
        <f>入門編_計算シート!$C$209/10</f>
        <v>0</v>
      </c>
      <c r="AC551" s="507">
        <f>入門編_計算シート!$C$209/10</f>
        <v>0</v>
      </c>
      <c r="AD551" s="507">
        <f>入門編_計算シート!$C$209/10</f>
        <v>0</v>
      </c>
      <c r="AE551" s="507">
        <f>入門編_計算シート!$C$209/10</f>
        <v>0</v>
      </c>
      <c r="AF551" s="507">
        <f>入門編_計算シート!$C$209/10</f>
        <v>0</v>
      </c>
      <c r="AG551" s="507">
        <f>入門編_計算シート!$C$209/10</f>
        <v>0</v>
      </c>
      <c r="AH551" s="507">
        <f>入門編_計算シート!$C$209/10</f>
        <v>0</v>
      </c>
      <c r="AI551" s="535">
        <f t="shared" ref="AI551" si="357">SUM(D551:N551)</f>
        <v>0</v>
      </c>
      <c r="AJ551" s="535">
        <f t="shared" ref="AJ551" si="358">SUM(D551:X551)</f>
        <v>0</v>
      </c>
      <c r="AK551" s="538">
        <f t="shared" ref="AK551" si="359">SUM(D551:AH551)</f>
        <v>0</v>
      </c>
    </row>
    <row r="552" spans="1:37" ht="11.5" thickBot="1" x14ac:dyDescent="0.25">
      <c r="A552" s="522" t="s">
        <v>69</v>
      </c>
      <c r="B552" s="523"/>
      <c r="C552" s="922" t="s">
        <v>666</v>
      </c>
      <c r="D552" s="598">
        <f>SUM(D543,D545:D551)</f>
        <v>-1465.4710322613575</v>
      </c>
      <c r="E552" s="525">
        <f t="shared" ref="E552:AH552" si="360">SUM(E543,E545:E551)</f>
        <v>160.19031815024584</v>
      </c>
      <c r="F552" s="525">
        <f t="shared" si="360"/>
        <v>160.41783515443313</v>
      </c>
      <c r="G552" s="525">
        <f t="shared" si="360"/>
        <v>160.64535215862045</v>
      </c>
      <c r="H552" s="525">
        <f t="shared" si="360"/>
        <v>160.87286916280777</v>
      </c>
      <c r="I552" s="525">
        <f t="shared" si="360"/>
        <v>161.10038616699512</v>
      </c>
      <c r="J552" s="525">
        <f t="shared" si="360"/>
        <v>161.32790317118244</v>
      </c>
      <c r="K552" s="525">
        <f t="shared" si="360"/>
        <v>161.55542017536976</v>
      </c>
      <c r="L552" s="525">
        <f t="shared" si="360"/>
        <v>161.78293717955708</v>
      </c>
      <c r="M552" s="525">
        <f t="shared" si="360"/>
        <v>162.0104541837444</v>
      </c>
      <c r="N552" s="525">
        <f t="shared" si="360"/>
        <v>162.23797118793175</v>
      </c>
      <c r="O552" s="525">
        <f t="shared" si="360"/>
        <v>162.46548819211907</v>
      </c>
      <c r="P552" s="525">
        <f t="shared" si="360"/>
        <v>162.69300519630642</v>
      </c>
      <c r="Q552" s="525">
        <f t="shared" si="360"/>
        <v>162.92052220049371</v>
      </c>
      <c r="R552" s="525">
        <f t="shared" si="360"/>
        <v>163.14803920468106</v>
      </c>
      <c r="S552" s="525">
        <f t="shared" si="360"/>
        <v>163.3755562088684</v>
      </c>
      <c r="T552" s="525">
        <f t="shared" si="360"/>
        <v>143.41330990448677</v>
      </c>
      <c r="U552" s="525">
        <f t="shared" si="360"/>
        <v>143.64082690867409</v>
      </c>
      <c r="V552" s="525">
        <f t="shared" si="360"/>
        <v>143.86834391286143</v>
      </c>
      <c r="W552" s="525">
        <f t="shared" si="360"/>
        <v>144.09586091704873</v>
      </c>
      <c r="X552" s="525">
        <f t="shared" si="360"/>
        <v>144.32337792123604</v>
      </c>
      <c r="Y552" s="525">
        <f t="shared" si="360"/>
        <v>144.55089492542339</v>
      </c>
      <c r="Z552" s="525">
        <f t="shared" si="360"/>
        <v>144.55089492542339</v>
      </c>
      <c r="AA552" s="525">
        <f t="shared" si="360"/>
        <v>144.55089492542339</v>
      </c>
      <c r="AB552" s="525">
        <f t="shared" si="360"/>
        <v>144.55089492542339</v>
      </c>
      <c r="AC552" s="525">
        <f t="shared" si="360"/>
        <v>144.55089492542339</v>
      </c>
      <c r="AD552" s="525">
        <f t="shared" si="360"/>
        <v>144.55089492542339</v>
      </c>
      <c r="AE552" s="525">
        <f t="shared" si="360"/>
        <v>144.55089492542339</v>
      </c>
      <c r="AF552" s="525">
        <f t="shared" si="360"/>
        <v>144.55089492542339</v>
      </c>
      <c r="AG552" s="525">
        <f t="shared" si="360"/>
        <v>144.55089492542339</v>
      </c>
      <c r="AH552" s="525">
        <f t="shared" si="360"/>
        <v>144.55089492542336</v>
      </c>
      <c r="AI552" s="536">
        <f t="shared" ref="AI552:AK552" si="361">SUM(AI543:AI547,AI551:AI551)</f>
        <v>-437.11262214089334</v>
      </c>
      <c r="AJ552" s="536">
        <f t="shared" si="361"/>
        <v>1441.0060865150408</v>
      </c>
      <c r="AK552" s="540">
        <f t="shared" si="361"/>
        <v>3218.3164179216628</v>
      </c>
    </row>
    <row r="553" spans="1:37" ht="66" x14ac:dyDescent="0.2">
      <c r="C553" s="414" t="s">
        <v>971</v>
      </c>
      <c r="D553" s="514">
        <f>D552</f>
        <v>-1465.4710322613575</v>
      </c>
      <c r="E553" s="527">
        <f>D553+E552</f>
        <v>-1305.2807141111116</v>
      </c>
      <c r="F553" s="527">
        <f t="shared" ref="F553:AH553" si="362">E553+F552</f>
        <v>-1144.8628789566785</v>
      </c>
      <c r="G553" s="527">
        <f t="shared" si="362"/>
        <v>-984.21752679805809</v>
      </c>
      <c r="H553" s="527">
        <f t="shared" si="362"/>
        <v>-823.34465763525031</v>
      </c>
      <c r="I553" s="527">
        <f t="shared" si="362"/>
        <v>-662.24427146825519</v>
      </c>
      <c r="J553" s="527">
        <f t="shared" si="362"/>
        <v>-500.91636829707272</v>
      </c>
      <c r="K553" s="527">
        <f t="shared" si="362"/>
        <v>-339.36094812170296</v>
      </c>
      <c r="L553" s="527">
        <f t="shared" si="362"/>
        <v>-177.57801094214588</v>
      </c>
      <c r="M553" s="527">
        <f t="shared" si="362"/>
        <v>-15.56755675840148</v>
      </c>
      <c r="N553" s="527">
        <f t="shared" si="362"/>
        <v>146.67041442953027</v>
      </c>
      <c r="O553" s="527">
        <f t="shared" si="362"/>
        <v>309.13590262164934</v>
      </c>
      <c r="P553" s="527">
        <f t="shared" si="362"/>
        <v>471.82890781795572</v>
      </c>
      <c r="Q553" s="527">
        <f t="shared" si="362"/>
        <v>634.7494300184494</v>
      </c>
      <c r="R553" s="527">
        <f t="shared" si="362"/>
        <v>797.89746922313043</v>
      </c>
      <c r="S553" s="527">
        <f t="shared" si="362"/>
        <v>961.2730254319988</v>
      </c>
      <c r="T553" s="527">
        <f t="shared" si="362"/>
        <v>1104.6863353364856</v>
      </c>
      <c r="U553" s="527">
        <f t="shared" si="362"/>
        <v>1248.3271622451598</v>
      </c>
      <c r="V553" s="527">
        <f t="shared" si="362"/>
        <v>1392.1955061580213</v>
      </c>
      <c r="W553" s="527">
        <f t="shared" si="362"/>
        <v>1536.29136707507</v>
      </c>
      <c r="X553" s="527">
        <f t="shared" si="362"/>
        <v>1680.6147449963059</v>
      </c>
      <c r="Y553" s="527">
        <f t="shared" si="362"/>
        <v>1825.1656399217293</v>
      </c>
      <c r="Z553" s="527">
        <f t="shared" si="362"/>
        <v>1969.7165348471526</v>
      </c>
      <c r="AA553" s="527">
        <f t="shared" si="362"/>
        <v>2114.2674297725762</v>
      </c>
      <c r="AB553" s="527">
        <f t="shared" si="362"/>
        <v>2258.8183246979997</v>
      </c>
      <c r="AC553" s="527">
        <f t="shared" si="362"/>
        <v>2403.3692196234233</v>
      </c>
      <c r="AD553" s="527">
        <f t="shared" si="362"/>
        <v>2547.9201145488469</v>
      </c>
      <c r="AE553" s="527">
        <f t="shared" si="362"/>
        <v>2692.4710094742704</v>
      </c>
      <c r="AF553" s="527">
        <f t="shared" si="362"/>
        <v>2837.021904399694</v>
      </c>
      <c r="AG553" s="527">
        <f t="shared" si="362"/>
        <v>2981.5727993251176</v>
      </c>
      <c r="AH553" s="527">
        <f t="shared" si="362"/>
        <v>3126.1236942505411</v>
      </c>
    </row>
    <row r="554" spans="1:37" x14ac:dyDescent="0.2">
      <c r="C554" s="920">
        <f>IRR(D552:X552)</f>
        <v>8.896229126429489E-2</v>
      </c>
    </row>
    <row r="555" spans="1:37" x14ac:dyDescent="0.2">
      <c r="C555" s="527">
        <f>MIN(D555:AH555)</f>
        <v>10</v>
      </c>
      <c r="D555" s="514">
        <f t="shared" ref="D555:AH555" si="363">IF(D553&gt;0,D525,9999)</f>
        <v>9999</v>
      </c>
      <c r="E555" s="514">
        <f t="shared" si="363"/>
        <v>9999</v>
      </c>
      <c r="F555" s="514">
        <f t="shared" si="363"/>
        <v>9999</v>
      </c>
      <c r="G555" s="514">
        <f t="shared" si="363"/>
        <v>9999</v>
      </c>
      <c r="H555" s="514">
        <f t="shared" si="363"/>
        <v>9999</v>
      </c>
      <c r="I555" s="514">
        <f t="shared" si="363"/>
        <v>9999</v>
      </c>
      <c r="J555" s="514">
        <f t="shared" si="363"/>
        <v>9999</v>
      </c>
      <c r="K555" s="514">
        <f t="shared" si="363"/>
        <v>9999</v>
      </c>
      <c r="L555" s="514">
        <f t="shared" si="363"/>
        <v>9999</v>
      </c>
      <c r="M555" s="514">
        <f t="shared" si="363"/>
        <v>9999</v>
      </c>
      <c r="N555" s="514">
        <f t="shared" si="363"/>
        <v>10</v>
      </c>
      <c r="O555" s="514">
        <f t="shared" si="363"/>
        <v>11</v>
      </c>
      <c r="P555" s="514">
        <f t="shared" si="363"/>
        <v>12</v>
      </c>
      <c r="Q555" s="514">
        <f t="shared" si="363"/>
        <v>13</v>
      </c>
      <c r="R555" s="514">
        <f t="shared" si="363"/>
        <v>14</v>
      </c>
      <c r="S555" s="514">
        <f t="shared" si="363"/>
        <v>15</v>
      </c>
      <c r="T555" s="514">
        <f t="shared" si="363"/>
        <v>16</v>
      </c>
      <c r="U555" s="514">
        <f t="shared" si="363"/>
        <v>17</v>
      </c>
      <c r="V555" s="514">
        <f t="shared" si="363"/>
        <v>18</v>
      </c>
      <c r="W555" s="514">
        <f t="shared" si="363"/>
        <v>19</v>
      </c>
      <c r="X555" s="514">
        <f t="shared" si="363"/>
        <v>20</v>
      </c>
      <c r="Y555" s="514">
        <f t="shared" si="363"/>
        <v>21</v>
      </c>
      <c r="Z555" s="514">
        <f t="shared" si="363"/>
        <v>22</v>
      </c>
      <c r="AA555" s="514">
        <f t="shared" si="363"/>
        <v>23</v>
      </c>
      <c r="AB555" s="514">
        <f t="shared" si="363"/>
        <v>24</v>
      </c>
      <c r="AC555" s="514">
        <f t="shared" si="363"/>
        <v>25</v>
      </c>
      <c r="AD555" s="514">
        <f t="shared" si="363"/>
        <v>26</v>
      </c>
      <c r="AE555" s="514">
        <f t="shared" si="363"/>
        <v>27</v>
      </c>
      <c r="AF555" s="514">
        <f t="shared" si="363"/>
        <v>28</v>
      </c>
      <c r="AG555" s="514">
        <f t="shared" si="363"/>
        <v>29</v>
      </c>
      <c r="AH555" s="514">
        <f t="shared" si="363"/>
        <v>30</v>
      </c>
    </row>
    <row r="556" spans="1:37" ht="11.5" thickBot="1" x14ac:dyDescent="0.25"/>
    <row r="557" spans="1:37" ht="12" thickBot="1" x14ac:dyDescent="0.3">
      <c r="A557" s="459"/>
      <c r="B557" s="521" t="s">
        <v>274</v>
      </c>
      <c r="C557" s="460"/>
      <c r="D557" s="594" t="s">
        <v>628</v>
      </c>
      <c r="E557" s="461" t="s">
        <v>629</v>
      </c>
      <c r="F557" s="461" t="s">
        <v>630</v>
      </c>
      <c r="G557" s="461" t="s">
        <v>631</v>
      </c>
      <c r="H557" s="461" t="s">
        <v>632</v>
      </c>
      <c r="I557" s="461" t="s">
        <v>633</v>
      </c>
      <c r="J557" s="461" t="s">
        <v>634</v>
      </c>
      <c r="K557" s="461" t="s">
        <v>635</v>
      </c>
      <c r="L557" s="461" t="s">
        <v>636</v>
      </c>
      <c r="M557" s="461" t="s">
        <v>637</v>
      </c>
      <c r="N557" s="461" t="s">
        <v>638</v>
      </c>
      <c r="O557" s="461" t="s">
        <v>639</v>
      </c>
      <c r="P557" s="461" t="s">
        <v>640</v>
      </c>
      <c r="Q557" s="461" t="s">
        <v>641</v>
      </c>
      <c r="R557" s="461" t="s">
        <v>642</v>
      </c>
      <c r="S557" s="461" t="s">
        <v>643</v>
      </c>
      <c r="T557" s="461" t="s">
        <v>644</v>
      </c>
      <c r="U557" s="461" t="s">
        <v>645</v>
      </c>
      <c r="V557" s="461" t="s">
        <v>646</v>
      </c>
      <c r="W557" s="461" t="s">
        <v>647</v>
      </c>
      <c r="X557" s="462" t="s">
        <v>648</v>
      </c>
      <c r="Y557" s="462" t="s">
        <v>649</v>
      </c>
      <c r="Z557" s="462" t="s">
        <v>650</v>
      </c>
      <c r="AA557" s="462" t="s">
        <v>651</v>
      </c>
      <c r="AB557" s="462" t="s">
        <v>652</v>
      </c>
      <c r="AC557" s="462" t="s">
        <v>653</v>
      </c>
      <c r="AD557" s="462" t="s">
        <v>654</v>
      </c>
      <c r="AE557" s="462" t="s">
        <v>655</v>
      </c>
      <c r="AF557" s="462" t="s">
        <v>656</v>
      </c>
      <c r="AG557" s="462" t="s">
        <v>657</v>
      </c>
      <c r="AH557" s="476" t="s">
        <v>658</v>
      </c>
      <c r="AI557" s="534" t="s">
        <v>306</v>
      </c>
      <c r="AJ557" s="537" t="s">
        <v>270</v>
      </c>
      <c r="AK557" s="539" t="s">
        <v>271</v>
      </c>
    </row>
    <row r="558" spans="1:37" ht="15" customHeight="1" x14ac:dyDescent="0.2">
      <c r="A558" s="505"/>
      <c r="B558" s="478"/>
      <c r="C558" s="1209" t="s">
        <v>965</v>
      </c>
      <c r="D558" s="507">
        <f t="shared" ref="D558:D565" si="364">D544</f>
        <v>-781.8448890169534</v>
      </c>
      <c r="E558" s="507">
        <f t="shared" ref="E558:AH558" si="365">D558+E544</f>
        <v>-735.68552704390697</v>
      </c>
      <c r="F558" s="507">
        <f t="shared" si="365"/>
        <v>-688.73186161929709</v>
      </c>
      <c r="G558" s="507">
        <f t="shared" si="365"/>
        <v>-640.98389274312376</v>
      </c>
      <c r="H558" s="507">
        <f t="shared" si="365"/>
        <v>-592.44162041538698</v>
      </c>
      <c r="I558" s="507">
        <f t="shared" si="365"/>
        <v>-543.10504463608675</v>
      </c>
      <c r="J558" s="507">
        <f t="shared" si="365"/>
        <v>-492.97416540522312</v>
      </c>
      <c r="K558" s="507">
        <f t="shared" si="365"/>
        <v>-442.0489827227961</v>
      </c>
      <c r="L558" s="507">
        <f t="shared" si="365"/>
        <v>-390.32949658880563</v>
      </c>
      <c r="M558" s="507">
        <f t="shared" si="365"/>
        <v>-337.81570700325176</v>
      </c>
      <c r="N558" s="507">
        <f t="shared" si="365"/>
        <v>-284.50761396613444</v>
      </c>
      <c r="O558" s="507">
        <f t="shared" si="365"/>
        <v>-230.40521747745368</v>
      </c>
      <c r="P558" s="507">
        <f t="shared" si="365"/>
        <v>-175.50851753720949</v>
      </c>
      <c r="Q558" s="507">
        <f t="shared" si="365"/>
        <v>-119.81751414540187</v>
      </c>
      <c r="R558" s="507">
        <f t="shared" si="365"/>
        <v>-63.332207302030831</v>
      </c>
      <c r="S558" s="507">
        <f t="shared" si="365"/>
        <v>-6.0525970070963595</v>
      </c>
      <c r="T558" s="507">
        <f t="shared" si="365"/>
        <v>40.29364340414724</v>
      </c>
      <c r="U558" s="507">
        <f t="shared" si="365"/>
        <v>86.886895844642396</v>
      </c>
      <c r="V558" s="507">
        <f t="shared" si="365"/>
        <v>133.72716031438912</v>
      </c>
      <c r="W558" s="507">
        <f t="shared" si="365"/>
        <v>180.8144368133874</v>
      </c>
      <c r="X558" s="507">
        <f t="shared" si="365"/>
        <v>228.14872534163726</v>
      </c>
      <c r="Y558" s="507">
        <f t="shared" si="365"/>
        <v>275.7300258991387</v>
      </c>
      <c r="Z558" s="507">
        <f t="shared" si="365"/>
        <v>323.38333848589167</v>
      </c>
      <c r="AA558" s="507">
        <f t="shared" si="365"/>
        <v>371.10866310189618</v>
      </c>
      <c r="AB558" s="507">
        <f t="shared" si="365"/>
        <v>418.90599974715229</v>
      </c>
      <c r="AC558" s="507">
        <f t="shared" si="365"/>
        <v>466.77534842165994</v>
      </c>
      <c r="AD558" s="507">
        <f t="shared" si="365"/>
        <v>514.71670912541913</v>
      </c>
      <c r="AE558" s="507">
        <f t="shared" si="365"/>
        <v>562.73008185842991</v>
      </c>
      <c r="AF558" s="507">
        <f t="shared" si="365"/>
        <v>610.81546662069229</v>
      </c>
      <c r="AG558" s="507">
        <f t="shared" si="365"/>
        <v>658.97286341220615</v>
      </c>
      <c r="AH558" s="507">
        <f t="shared" si="365"/>
        <v>707.20227223297161</v>
      </c>
      <c r="AI558" s="535">
        <f t="shared" ref="AI558:AI564" si="366">SUM(D558:N558)</f>
        <v>-5930.4688011609651</v>
      </c>
      <c r="AJ558" s="535">
        <f t="shared" ref="AJ558:AJ565" si="367">SUM(D558:X558)</f>
        <v>-5855.7139929119539</v>
      </c>
      <c r="AK558" s="538">
        <f t="shared" ref="AK558:AK565" si="368">SUM(D558:AH558)</f>
        <v>-945.37322400649555</v>
      </c>
    </row>
    <row r="559" spans="1:37" ht="15" customHeight="1" x14ac:dyDescent="0.2">
      <c r="A559" s="505"/>
      <c r="B559" s="478"/>
      <c r="C559" s="1209" t="s">
        <v>964</v>
      </c>
      <c r="D559" s="507">
        <f t="shared" si="364"/>
        <v>21.583838496194108</v>
      </c>
      <c r="E559" s="507">
        <f t="shared" ref="E559:AH559" si="369">D559+E545</f>
        <v>21.583838496194108</v>
      </c>
      <c r="F559" s="507">
        <f t="shared" si="369"/>
        <v>21.583838496194108</v>
      </c>
      <c r="G559" s="507">
        <f t="shared" si="369"/>
        <v>21.583838496194108</v>
      </c>
      <c r="H559" s="507">
        <f t="shared" si="369"/>
        <v>21.583838496194108</v>
      </c>
      <c r="I559" s="507">
        <f t="shared" si="369"/>
        <v>21.583838496194108</v>
      </c>
      <c r="J559" s="507">
        <f t="shared" si="369"/>
        <v>21.583838496194108</v>
      </c>
      <c r="K559" s="507">
        <f t="shared" si="369"/>
        <v>21.583838496194108</v>
      </c>
      <c r="L559" s="507">
        <f t="shared" si="369"/>
        <v>21.583838496194108</v>
      </c>
      <c r="M559" s="507">
        <f t="shared" si="369"/>
        <v>21.583838496194108</v>
      </c>
      <c r="N559" s="507">
        <f t="shared" si="369"/>
        <v>21.583838496194108</v>
      </c>
      <c r="O559" s="507">
        <f t="shared" si="369"/>
        <v>21.583838496194108</v>
      </c>
      <c r="P559" s="507">
        <f t="shared" si="369"/>
        <v>21.583838496194108</v>
      </c>
      <c r="Q559" s="507">
        <f t="shared" si="369"/>
        <v>21.583838496194108</v>
      </c>
      <c r="R559" s="507">
        <f t="shared" si="369"/>
        <v>21.583838496194108</v>
      </c>
      <c r="S559" s="507">
        <f t="shared" si="369"/>
        <v>21.583838496194108</v>
      </c>
      <c r="T559" s="507">
        <f t="shared" si="369"/>
        <v>21.583838496194108</v>
      </c>
      <c r="U559" s="507">
        <f t="shared" si="369"/>
        <v>21.583838496194108</v>
      </c>
      <c r="V559" s="507">
        <f t="shared" si="369"/>
        <v>21.583838496194108</v>
      </c>
      <c r="W559" s="507">
        <f t="shared" si="369"/>
        <v>21.583838496194108</v>
      </c>
      <c r="X559" s="507">
        <f t="shared" si="369"/>
        <v>21.583838496194108</v>
      </c>
      <c r="Y559" s="507">
        <f t="shared" si="369"/>
        <v>21.583838496194108</v>
      </c>
      <c r="Z559" s="507">
        <f t="shared" si="369"/>
        <v>21.583838496194108</v>
      </c>
      <c r="AA559" s="507">
        <f t="shared" si="369"/>
        <v>21.583838496194108</v>
      </c>
      <c r="AB559" s="507">
        <f t="shared" si="369"/>
        <v>21.583838496194108</v>
      </c>
      <c r="AC559" s="507">
        <f t="shared" si="369"/>
        <v>21.583838496194108</v>
      </c>
      <c r="AD559" s="507">
        <f t="shared" si="369"/>
        <v>21.583838496194108</v>
      </c>
      <c r="AE559" s="507">
        <f t="shared" si="369"/>
        <v>21.583838496194108</v>
      </c>
      <c r="AF559" s="507">
        <f t="shared" si="369"/>
        <v>21.583838496194108</v>
      </c>
      <c r="AG559" s="507">
        <f t="shared" si="369"/>
        <v>21.583838496194108</v>
      </c>
      <c r="AH559" s="507">
        <f t="shared" si="369"/>
        <v>21.583838496194108</v>
      </c>
      <c r="AI559" s="535">
        <f t="shared" si="366"/>
        <v>237.42222345813525</v>
      </c>
      <c r="AJ559" s="535">
        <f t="shared" si="367"/>
        <v>453.26060842007644</v>
      </c>
      <c r="AK559" s="538">
        <f t="shared" si="368"/>
        <v>669.09899338201717</v>
      </c>
    </row>
    <row r="560" spans="1:37" ht="15" customHeight="1" x14ac:dyDescent="0.2">
      <c r="A560" s="505"/>
      <c r="B560" s="478"/>
      <c r="C560" s="1209" t="s">
        <v>966</v>
      </c>
      <c r="D560" s="507">
        <f t="shared" si="364"/>
        <v>0</v>
      </c>
      <c r="E560" s="507">
        <f t="shared" ref="E560:AH560" si="370">D560+E546</f>
        <v>3.3877480037124261</v>
      </c>
      <c r="F560" s="507">
        <f t="shared" si="370"/>
        <v>6.7754960074248523</v>
      </c>
      <c r="G560" s="507">
        <f t="shared" si="370"/>
        <v>10.163244011137278</v>
      </c>
      <c r="H560" s="507">
        <f t="shared" si="370"/>
        <v>13.550992014849705</v>
      </c>
      <c r="I560" s="507">
        <f t="shared" si="370"/>
        <v>16.938740018562129</v>
      </c>
      <c r="J560" s="507">
        <f t="shared" si="370"/>
        <v>20.326488022274553</v>
      </c>
      <c r="K560" s="507">
        <f t="shared" si="370"/>
        <v>23.714236025986978</v>
      </c>
      <c r="L560" s="507">
        <f t="shared" si="370"/>
        <v>27.101984029699402</v>
      </c>
      <c r="M560" s="507">
        <f t="shared" si="370"/>
        <v>30.489732033411826</v>
      </c>
      <c r="N560" s="507">
        <f t="shared" si="370"/>
        <v>33.877480037124251</v>
      </c>
      <c r="O560" s="507">
        <f t="shared" si="370"/>
        <v>37.265228040836675</v>
      </c>
      <c r="P560" s="507">
        <f t="shared" si="370"/>
        <v>40.652976044549099</v>
      </c>
      <c r="Q560" s="507">
        <f t="shared" si="370"/>
        <v>44.040724048261524</v>
      </c>
      <c r="R560" s="507">
        <f t="shared" si="370"/>
        <v>47.428472051973948</v>
      </c>
      <c r="S560" s="507">
        <f t="shared" si="370"/>
        <v>50.816220055686372</v>
      </c>
      <c r="T560" s="507">
        <f t="shared" si="370"/>
        <v>54.203968059398797</v>
      </c>
      <c r="U560" s="507">
        <f t="shared" si="370"/>
        <v>57.591716063111221</v>
      </c>
      <c r="V560" s="507">
        <f t="shared" si="370"/>
        <v>60.979464066823645</v>
      </c>
      <c r="W560" s="507">
        <f t="shared" si="370"/>
        <v>64.36721207053607</v>
      </c>
      <c r="X560" s="507">
        <f t="shared" si="370"/>
        <v>67.754960074248501</v>
      </c>
      <c r="Y560" s="507">
        <f t="shared" si="370"/>
        <v>71.142708077960933</v>
      </c>
      <c r="Z560" s="507">
        <f t="shared" si="370"/>
        <v>74.530456081673364</v>
      </c>
      <c r="AA560" s="507">
        <f t="shared" si="370"/>
        <v>77.918204085385796</v>
      </c>
      <c r="AB560" s="507">
        <f t="shared" si="370"/>
        <v>81.305952089098227</v>
      </c>
      <c r="AC560" s="507">
        <f t="shared" si="370"/>
        <v>84.693700092810658</v>
      </c>
      <c r="AD560" s="507">
        <f t="shared" si="370"/>
        <v>88.08144809652309</v>
      </c>
      <c r="AE560" s="507">
        <f t="shared" si="370"/>
        <v>91.469196100235521</v>
      </c>
      <c r="AF560" s="507">
        <f t="shared" si="370"/>
        <v>94.856944103947953</v>
      </c>
      <c r="AG560" s="507">
        <f t="shared" si="370"/>
        <v>98.244692107660384</v>
      </c>
      <c r="AH560" s="507">
        <f t="shared" si="370"/>
        <v>101.63244011137282</v>
      </c>
      <c r="AI560" s="535">
        <f t="shared" si="366"/>
        <v>186.32614020418342</v>
      </c>
      <c r="AJ560" s="535">
        <f t="shared" si="367"/>
        <v>711.42708077960924</v>
      </c>
      <c r="AK560" s="538">
        <f t="shared" si="368"/>
        <v>1575.3028217262774</v>
      </c>
    </row>
    <row r="561" spans="1:37" ht="15" customHeight="1" x14ac:dyDescent="0.2">
      <c r="A561" s="505"/>
      <c r="B561" s="478"/>
      <c r="C561" s="1209" t="s">
        <v>967</v>
      </c>
      <c r="D561" s="507">
        <f t="shared" si="364"/>
        <v>54.676690528697137</v>
      </c>
      <c r="E561" s="507">
        <f t="shared" ref="E561:AH561" si="371">D561+E547</f>
        <v>85.3039115982466</v>
      </c>
      <c r="F561" s="507">
        <f t="shared" si="371"/>
        <v>115.93113266779606</v>
      </c>
      <c r="G561" s="507">
        <f t="shared" si="371"/>
        <v>146.55835373734553</v>
      </c>
      <c r="H561" s="507">
        <f t="shared" si="371"/>
        <v>177.18557480689498</v>
      </c>
      <c r="I561" s="507">
        <f t="shared" si="371"/>
        <v>207.81279587644443</v>
      </c>
      <c r="J561" s="507">
        <f t="shared" si="371"/>
        <v>238.44001694599388</v>
      </c>
      <c r="K561" s="507">
        <f t="shared" si="371"/>
        <v>269.06723801554335</v>
      </c>
      <c r="L561" s="507">
        <f t="shared" si="371"/>
        <v>299.69445908509283</v>
      </c>
      <c r="M561" s="507">
        <f t="shared" si="371"/>
        <v>330.32168015464231</v>
      </c>
      <c r="N561" s="507">
        <f t="shared" si="371"/>
        <v>360.94890122419179</v>
      </c>
      <c r="O561" s="507">
        <f t="shared" si="371"/>
        <v>391.57612229374126</v>
      </c>
      <c r="P561" s="507">
        <f t="shared" si="371"/>
        <v>422.20334336329074</v>
      </c>
      <c r="Q561" s="507">
        <f t="shared" si="371"/>
        <v>452.83056443284022</v>
      </c>
      <c r="R561" s="507">
        <f t="shared" si="371"/>
        <v>483.4577855023897</v>
      </c>
      <c r="S561" s="507">
        <f t="shared" si="371"/>
        <v>514.08500657193918</v>
      </c>
      <c r="T561" s="507">
        <f t="shared" si="371"/>
        <v>544.71222764148865</v>
      </c>
      <c r="U561" s="507">
        <f t="shared" si="371"/>
        <v>575.33944871103813</v>
      </c>
      <c r="V561" s="507">
        <f t="shared" si="371"/>
        <v>605.96666978058761</v>
      </c>
      <c r="W561" s="507">
        <f t="shared" si="371"/>
        <v>636.59389085013709</v>
      </c>
      <c r="X561" s="507">
        <f t="shared" si="371"/>
        <v>667.22111191968656</v>
      </c>
      <c r="Y561" s="507">
        <f t="shared" si="371"/>
        <v>697.84833298923604</v>
      </c>
      <c r="Z561" s="507">
        <f t="shared" si="371"/>
        <v>728.47555405878552</v>
      </c>
      <c r="AA561" s="507">
        <f t="shared" si="371"/>
        <v>759.102775128335</v>
      </c>
      <c r="AB561" s="507">
        <f t="shared" si="371"/>
        <v>789.72999619788447</v>
      </c>
      <c r="AC561" s="507">
        <f t="shared" si="371"/>
        <v>820.35721726743395</v>
      </c>
      <c r="AD561" s="507">
        <f t="shared" si="371"/>
        <v>850.98443833698343</v>
      </c>
      <c r="AE561" s="507">
        <f t="shared" si="371"/>
        <v>881.61165940653291</v>
      </c>
      <c r="AF561" s="507">
        <f t="shared" si="371"/>
        <v>912.23888047608239</v>
      </c>
      <c r="AG561" s="507">
        <f t="shared" si="371"/>
        <v>942.86610154563186</v>
      </c>
      <c r="AH561" s="507">
        <f t="shared" si="371"/>
        <v>973.49332261518134</v>
      </c>
      <c r="AI561" s="535">
        <f t="shared" si="366"/>
        <v>2285.9407546408888</v>
      </c>
      <c r="AJ561" s="535">
        <f t="shared" si="367"/>
        <v>7579.9269257080277</v>
      </c>
      <c r="AK561" s="538">
        <f t="shared" si="368"/>
        <v>15936.635203730115</v>
      </c>
    </row>
    <row r="562" spans="1:37" ht="15" customHeight="1" x14ac:dyDescent="0.2">
      <c r="A562" s="505"/>
      <c r="B562" s="478"/>
      <c r="C562" s="465" t="s">
        <v>677</v>
      </c>
      <c r="D562" s="507">
        <f t="shared" si="364"/>
        <v>21.95821674765779</v>
      </c>
      <c r="E562" s="507">
        <f t="shared" ref="E562:AH562" si="372">D562+E548</f>
        <v>53.315287104459209</v>
      </c>
      <c r="F562" s="507">
        <f t="shared" si="372"/>
        <v>83.436245301025579</v>
      </c>
      <c r="G562" s="507">
        <f t="shared" si="372"/>
        <v>112.3210913373569</v>
      </c>
      <c r="H562" s="507">
        <f t="shared" si="372"/>
        <v>139.96982521345316</v>
      </c>
      <c r="I562" s="507">
        <f t="shared" si="372"/>
        <v>166.38244692931437</v>
      </c>
      <c r="J562" s="507">
        <f t="shared" si="372"/>
        <v>191.55895648494052</v>
      </c>
      <c r="K562" s="507">
        <f t="shared" si="372"/>
        <v>215.49935388033163</v>
      </c>
      <c r="L562" s="507">
        <f t="shared" si="372"/>
        <v>238.20363911548768</v>
      </c>
      <c r="M562" s="507">
        <f t="shared" si="372"/>
        <v>259.67181219040867</v>
      </c>
      <c r="N562" s="507">
        <f t="shared" si="372"/>
        <v>279.90387310509465</v>
      </c>
      <c r="O562" s="507">
        <f t="shared" si="372"/>
        <v>298.89982185954557</v>
      </c>
      <c r="P562" s="507">
        <f t="shared" si="372"/>
        <v>316.65965845376144</v>
      </c>
      <c r="Q562" s="507">
        <f t="shared" si="372"/>
        <v>333.18338288774225</v>
      </c>
      <c r="R562" s="507">
        <f t="shared" si="372"/>
        <v>348.47099516148802</v>
      </c>
      <c r="S562" s="507">
        <f t="shared" si="372"/>
        <v>362.52249527499873</v>
      </c>
      <c r="T562" s="507">
        <f t="shared" si="372"/>
        <v>378.603466590214</v>
      </c>
      <c r="U562" s="507">
        <f t="shared" si="372"/>
        <v>394.54290858981796</v>
      </c>
      <c r="V562" s="507">
        <f t="shared" si="372"/>
        <v>410.3408212738106</v>
      </c>
      <c r="W562" s="507">
        <f t="shared" si="372"/>
        <v>425.99720464219195</v>
      </c>
      <c r="X562" s="507">
        <f t="shared" si="372"/>
        <v>441.51205869496198</v>
      </c>
      <c r="Y562" s="507">
        <f t="shared" si="372"/>
        <v>456.88538343212065</v>
      </c>
      <c r="Z562" s="507">
        <f t="shared" si="372"/>
        <v>472.11468411077624</v>
      </c>
      <c r="AA562" s="507">
        <f t="shared" si="372"/>
        <v>487.19996073092869</v>
      </c>
      <c r="AB562" s="507">
        <f t="shared" si="372"/>
        <v>502.14121329257802</v>
      </c>
      <c r="AC562" s="507">
        <f t="shared" si="372"/>
        <v>516.9384417957242</v>
      </c>
      <c r="AD562" s="507">
        <f t="shared" si="372"/>
        <v>531.59164624036725</v>
      </c>
      <c r="AE562" s="507">
        <f t="shared" si="372"/>
        <v>546.10082662650723</v>
      </c>
      <c r="AF562" s="507">
        <f t="shared" si="372"/>
        <v>560.46598295414401</v>
      </c>
      <c r="AG562" s="507">
        <f t="shared" si="372"/>
        <v>574.68711522327771</v>
      </c>
      <c r="AH562" s="507">
        <f t="shared" si="372"/>
        <v>588.76422343390834</v>
      </c>
      <c r="AI562" s="535">
        <f t="shared" si="366"/>
        <v>1762.2207474095301</v>
      </c>
      <c r="AJ562" s="535">
        <f t="shared" si="367"/>
        <v>5472.9535608380611</v>
      </c>
      <c r="AK562" s="538">
        <f t="shared" si="368"/>
        <v>10709.843038678395</v>
      </c>
    </row>
    <row r="563" spans="1:37" ht="15" customHeight="1" x14ac:dyDescent="0.2">
      <c r="A563" s="505"/>
      <c r="B563" s="478"/>
      <c r="C563" s="1209" t="s">
        <v>968</v>
      </c>
      <c r="D563" s="507">
        <f t="shared" si="364"/>
        <v>0</v>
      </c>
      <c r="E563" s="507">
        <f t="shared" ref="E563:AH563" si="373">D563+E549</f>
        <v>2.4995547740895621</v>
      </c>
      <c r="F563" s="507">
        <f t="shared" si="373"/>
        <v>4.8741318094746457</v>
      </c>
      <c r="G563" s="507">
        <f t="shared" si="373"/>
        <v>7.1237311061552511</v>
      </c>
      <c r="H563" s="507">
        <f t="shared" si="373"/>
        <v>9.248352664131378</v>
      </c>
      <c r="I563" s="507">
        <f t="shared" si="373"/>
        <v>11.247996483403028</v>
      </c>
      <c r="J563" s="507">
        <f t="shared" si="373"/>
        <v>13.1226625639702</v>
      </c>
      <c r="K563" s="507">
        <f t="shared" si="373"/>
        <v>14.872350905832894</v>
      </c>
      <c r="L563" s="507">
        <f t="shared" si="373"/>
        <v>16.497061508991109</v>
      </c>
      <c r="M563" s="507">
        <f t="shared" si="373"/>
        <v>17.996794373444846</v>
      </c>
      <c r="N563" s="507">
        <f t="shared" si="373"/>
        <v>19.371549499194106</v>
      </c>
      <c r="O563" s="507">
        <f t="shared" si="373"/>
        <v>20.621326886238887</v>
      </c>
      <c r="P563" s="507">
        <f t="shared" si="373"/>
        <v>21.74612653457919</v>
      </c>
      <c r="Q563" s="507">
        <f t="shared" si="373"/>
        <v>22.745948444215013</v>
      </c>
      <c r="R563" s="507">
        <f t="shared" si="373"/>
        <v>23.62079261514636</v>
      </c>
      <c r="S563" s="507">
        <f t="shared" si="373"/>
        <v>24.370659047373231</v>
      </c>
      <c r="T563" s="507">
        <f t="shared" si="373"/>
        <v>24.995547740895621</v>
      </c>
      <c r="U563" s="507">
        <f t="shared" si="373"/>
        <v>25.495458695713534</v>
      </c>
      <c r="V563" s="507">
        <f t="shared" si="373"/>
        <v>25.870391911826967</v>
      </c>
      <c r="W563" s="507">
        <f t="shared" si="373"/>
        <v>26.120347389235924</v>
      </c>
      <c r="X563" s="507">
        <f t="shared" si="373"/>
        <v>26.245325127940401</v>
      </c>
      <c r="Y563" s="507">
        <f t="shared" si="373"/>
        <v>26.245325127940401</v>
      </c>
      <c r="Z563" s="507">
        <f t="shared" si="373"/>
        <v>26.245325127940401</v>
      </c>
      <c r="AA563" s="507">
        <f t="shared" si="373"/>
        <v>26.245325127940401</v>
      </c>
      <c r="AB563" s="507">
        <f t="shared" si="373"/>
        <v>26.245325127940401</v>
      </c>
      <c r="AC563" s="507">
        <f t="shared" si="373"/>
        <v>26.245325127940401</v>
      </c>
      <c r="AD563" s="507">
        <f t="shared" si="373"/>
        <v>26.245325127940401</v>
      </c>
      <c r="AE563" s="507">
        <f t="shared" si="373"/>
        <v>26.245325127940401</v>
      </c>
      <c r="AF563" s="507">
        <f t="shared" si="373"/>
        <v>26.245325127940401</v>
      </c>
      <c r="AG563" s="507">
        <f t="shared" si="373"/>
        <v>26.245325127940401</v>
      </c>
      <c r="AH563" s="507">
        <f t="shared" si="373"/>
        <v>26.245325127940401</v>
      </c>
      <c r="AI563" s="535">
        <f t="shared" si="366"/>
        <v>116.85418568868701</v>
      </c>
      <c r="AJ563" s="535">
        <f t="shared" si="367"/>
        <v>358.68611008185218</v>
      </c>
      <c r="AK563" s="538">
        <f t="shared" si="368"/>
        <v>621.13936136125631</v>
      </c>
    </row>
    <row r="564" spans="1:37" ht="15" customHeight="1" x14ac:dyDescent="0.2">
      <c r="A564" s="505"/>
      <c r="B564" s="478"/>
      <c r="C564" s="1209" t="s">
        <v>969</v>
      </c>
      <c r="D564" s="507">
        <f t="shared" si="364"/>
        <v>0</v>
      </c>
      <c r="E564" s="507">
        <f>D564+E550</f>
        <v>0</v>
      </c>
      <c r="F564" s="507">
        <f t="shared" ref="F564:AH564" si="374">E564+F550</f>
        <v>0</v>
      </c>
      <c r="G564" s="507">
        <f t="shared" si="374"/>
        <v>0</v>
      </c>
      <c r="H564" s="507">
        <f t="shared" si="374"/>
        <v>0</v>
      </c>
      <c r="I564" s="507">
        <f t="shared" si="374"/>
        <v>0</v>
      </c>
      <c r="J564" s="507">
        <f t="shared" si="374"/>
        <v>0</v>
      </c>
      <c r="K564" s="507">
        <f t="shared" si="374"/>
        <v>0</v>
      </c>
      <c r="L564" s="507">
        <f t="shared" si="374"/>
        <v>0</v>
      </c>
      <c r="M564" s="507">
        <f t="shared" si="374"/>
        <v>0</v>
      </c>
      <c r="N564" s="507">
        <f t="shared" si="374"/>
        <v>0</v>
      </c>
      <c r="O564" s="507">
        <f t="shared" si="374"/>
        <v>0</v>
      </c>
      <c r="P564" s="507">
        <f t="shared" si="374"/>
        <v>0</v>
      </c>
      <c r="Q564" s="507">
        <f t="shared" si="374"/>
        <v>0</v>
      </c>
      <c r="R564" s="507">
        <f t="shared" si="374"/>
        <v>0</v>
      </c>
      <c r="S564" s="507">
        <f t="shared" si="374"/>
        <v>0</v>
      </c>
      <c r="T564" s="507">
        <f t="shared" si="374"/>
        <v>0</v>
      </c>
      <c r="U564" s="507">
        <f t="shared" si="374"/>
        <v>0</v>
      </c>
      <c r="V564" s="507">
        <f t="shared" si="374"/>
        <v>0</v>
      </c>
      <c r="W564" s="507">
        <f t="shared" si="374"/>
        <v>0</v>
      </c>
      <c r="X564" s="507">
        <f t="shared" si="374"/>
        <v>0</v>
      </c>
      <c r="Y564" s="507">
        <f t="shared" si="374"/>
        <v>0</v>
      </c>
      <c r="Z564" s="507">
        <f t="shared" si="374"/>
        <v>0</v>
      </c>
      <c r="AA564" s="507">
        <f t="shared" si="374"/>
        <v>0</v>
      </c>
      <c r="AB564" s="507">
        <f t="shared" si="374"/>
        <v>0</v>
      </c>
      <c r="AC564" s="507">
        <f t="shared" si="374"/>
        <v>0</v>
      </c>
      <c r="AD564" s="507">
        <f t="shared" si="374"/>
        <v>0</v>
      </c>
      <c r="AE564" s="507">
        <f t="shared" si="374"/>
        <v>0</v>
      </c>
      <c r="AF564" s="507">
        <f t="shared" si="374"/>
        <v>0</v>
      </c>
      <c r="AG564" s="507">
        <f t="shared" si="374"/>
        <v>0</v>
      </c>
      <c r="AH564" s="507">
        <f t="shared" si="374"/>
        <v>0</v>
      </c>
      <c r="AI564" s="535">
        <f t="shared" si="366"/>
        <v>0</v>
      </c>
      <c r="AJ564" s="535">
        <f t="shared" si="367"/>
        <v>0</v>
      </c>
      <c r="AK564" s="538">
        <f t="shared" si="368"/>
        <v>0</v>
      </c>
    </row>
    <row r="565" spans="1:37" ht="15" customHeight="1" thickBot="1" x14ac:dyDescent="0.25">
      <c r="A565" s="505"/>
      <c r="B565" s="478"/>
      <c r="C565" s="1209" t="s">
        <v>970</v>
      </c>
      <c r="D565" s="507">
        <f t="shared" si="364"/>
        <v>0</v>
      </c>
      <c r="E565" s="507">
        <f t="shared" ref="E565:AH565" si="375">D565+E551</f>
        <v>0</v>
      </c>
      <c r="F565" s="507">
        <f t="shared" si="375"/>
        <v>0</v>
      </c>
      <c r="G565" s="507">
        <f t="shared" si="375"/>
        <v>0</v>
      </c>
      <c r="H565" s="507">
        <f t="shared" si="375"/>
        <v>0</v>
      </c>
      <c r="I565" s="507">
        <f t="shared" si="375"/>
        <v>0</v>
      </c>
      <c r="J565" s="507">
        <f t="shared" si="375"/>
        <v>0</v>
      </c>
      <c r="K565" s="507">
        <f t="shared" si="375"/>
        <v>0</v>
      </c>
      <c r="L565" s="507">
        <f t="shared" si="375"/>
        <v>0</v>
      </c>
      <c r="M565" s="507">
        <f t="shared" si="375"/>
        <v>0</v>
      </c>
      <c r="N565" s="507">
        <f t="shared" si="375"/>
        <v>0</v>
      </c>
      <c r="O565" s="507">
        <f t="shared" si="375"/>
        <v>0</v>
      </c>
      <c r="P565" s="507">
        <f t="shared" si="375"/>
        <v>0</v>
      </c>
      <c r="Q565" s="507">
        <f t="shared" si="375"/>
        <v>0</v>
      </c>
      <c r="R565" s="507">
        <f t="shared" si="375"/>
        <v>0</v>
      </c>
      <c r="S565" s="507">
        <f t="shared" si="375"/>
        <v>0</v>
      </c>
      <c r="T565" s="507">
        <f t="shared" si="375"/>
        <v>0</v>
      </c>
      <c r="U565" s="507">
        <f t="shared" si="375"/>
        <v>0</v>
      </c>
      <c r="V565" s="507">
        <f t="shared" si="375"/>
        <v>0</v>
      </c>
      <c r="W565" s="507">
        <f t="shared" si="375"/>
        <v>0</v>
      </c>
      <c r="X565" s="507">
        <f t="shared" si="375"/>
        <v>0</v>
      </c>
      <c r="Y565" s="507">
        <f t="shared" si="375"/>
        <v>0</v>
      </c>
      <c r="Z565" s="507">
        <f t="shared" si="375"/>
        <v>0</v>
      </c>
      <c r="AA565" s="507">
        <f t="shared" si="375"/>
        <v>0</v>
      </c>
      <c r="AB565" s="507">
        <f t="shared" si="375"/>
        <v>0</v>
      </c>
      <c r="AC565" s="507">
        <f t="shared" si="375"/>
        <v>0</v>
      </c>
      <c r="AD565" s="507">
        <f t="shared" si="375"/>
        <v>0</v>
      </c>
      <c r="AE565" s="507">
        <f t="shared" si="375"/>
        <v>0</v>
      </c>
      <c r="AF565" s="507">
        <f t="shared" si="375"/>
        <v>0</v>
      </c>
      <c r="AG565" s="507">
        <f t="shared" si="375"/>
        <v>0</v>
      </c>
      <c r="AH565" s="507">
        <f t="shared" si="375"/>
        <v>0</v>
      </c>
      <c r="AI565" s="535">
        <f t="shared" ref="AI565" si="376">SUM(D565:N565)</f>
        <v>0</v>
      </c>
      <c r="AJ565" s="535">
        <f t="shared" si="367"/>
        <v>0</v>
      </c>
      <c r="AK565" s="538">
        <f t="shared" si="368"/>
        <v>0</v>
      </c>
    </row>
    <row r="566" spans="1:37" ht="11.5" thickBot="1" x14ac:dyDescent="0.25">
      <c r="A566" s="522" t="s">
        <v>69</v>
      </c>
      <c r="B566" s="523"/>
      <c r="C566" s="922" t="s">
        <v>666</v>
      </c>
      <c r="D566" s="598">
        <f t="shared" ref="D566:AH566" si="377">SUM(D558:D565)</f>
        <v>-683.62614324440437</v>
      </c>
      <c r="E566" s="598">
        <f t="shared" si="377"/>
        <v>-569.59518706720507</v>
      </c>
      <c r="F566" s="525">
        <f t="shared" si="377"/>
        <v>-456.13101733738188</v>
      </c>
      <c r="G566" s="525">
        <f t="shared" si="377"/>
        <v>-343.23363405493467</v>
      </c>
      <c r="H566" s="525">
        <f t="shared" si="377"/>
        <v>-230.90303721986368</v>
      </c>
      <c r="I566" s="525">
        <f t="shared" si="377"/>
        <v>-119.13922683216873</v>
      </c>
      <c r="J566" s="525">
        <f t="shared" si="377"/>
        <v>-7.9422028918498686</v>
      </c>
      <c r="K566" s="525">
        <f t="shared" si="377"/>
        <v>102.68803460109285</v>
      </c>
      <c r="L566" s="525">
        <f t="shared" si="377"/>
        <v>212.75148564665949</v>
      </c>
      <c r="M566" s="525">
        <f t="shared" si="377"/>
        <v>322.24815024485002</v>
      </c>
      <c r="N566" s="525">
        <f t="shared" si="377"/>
        <v>431.17802839566446</v>
      </c>
      <c r="O566" s="525">
        <f t="shared" si="377"/>
        <v>539.54112009910284</v>
      </c>
      <c r="P566" s="525">
        <f t="shared" si="377"/>
        <v>647.33742535516512</v>
      </c>
      <c r="Q566" s="525">
        <f t="shared" si="377"/>
        <v>754.5669441638513</v>
      </c>
      <c r="R566" s="525">
        <f t="shared" si="377"/>
        <v>861.22967652516127</v>
      </c>
      <c r="S566" s="525">
        <f t="shared" si="377"/>
        <v>967.32562243909524</v>
      </c>
      <c r="T566" s="525">
        <f t="shared" si="377"/>
        <v>1064.3926919323383</v>
      </c>
      <c r="U566" s="525">
        <f t="shared" si="377"/>
        <v>1161.4402664005172</v>
      </c>
      <c r="V566" s="525">
        <f t="shared" si="377"/>
        <v>1258.4683458436321</v>
      </c>
      <c r="W566" s="525">
        <f t="shared" si="377"/>
        <v>1355.4769302616826</v>
      </c>
      <c r="X566" s="525">
        <f t="shared" si="377"/>
        <v>1452.4660196546688</v>
      </c>
      <c r="Y566" s="525">
        <f t="shared" si="377"/>
        <v>1549.4356140225909</v>
      </c>
      <c r="Z566" s="525">
        <f t="shared" si="377"/>
        <v>1646.3331963612613</v>
      </c>
      <c r="AA566" s="525">
        <f t="shared" si="377"/>
        <v>1743.1587666706803</v>
      </c>
      <c r="AB566" s="525">
        <f t="shared" si="377"/>
        <v>1839.9123249508475</v>
      </c>
      <c r="AC566" s="525">
        <f t="shared" si="377"/>
        <v>1936.593871201763</v>
      </c>
      <c r="AD566" s="525">
        <f t="shared" si="377"/>
        <v>2033.2034054234273</v>
      </c>
      <c r="AE566" s="525">
        <f t="shared" si="377"/>
        <v>2129.7409276158401</v>
      </c>
      <c r="AF566" s="525">
        <f t="shared" si="377"/>
        <v>2226.2064377790011</v>
      </c>
      <c r="AG566" s="525">
        <f t="shared" si="377"/>
        <v>2322.5999359129105</v>
      </c>
      <c r="AH566" s="525">
        <f t="shared" si="377"/>
        <v>2418.9214220175686</v>
      </c>
      <c r="AI566" s="536">
        <f>SUM(AI558:AI561,AI565:AI565)</f>
        <v>-3220.7796828577571</v>
      </c>
      <c r="AJ566" s="536">
        <f>SUM(AJ558:AJ561,AJ565:AJ565)</f>
        <v>2888.9006219957591</v>
      </c>
      <c r="AK566" s="540">
        <f>SUM(AK558:AK561,AK565:AK565)</f>
        <v>17235.663794831915</v>
      </c>
    </row>
  </sheetData>
  <sheetProtection password="B437" sheet="1" objects="1" scenarios="1"/>
  <mergeCells count="1">
    <mergeCell ref="B1:C1"/>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X126"/>
  <sheetViews>
    <sheetView workbookViewId="0">
      <selection activeCell="J81" sqref="J81"/>
    </sheetView>
  </sheetViews>
  <sheetFormatPr defaultColWidth="9" defaultRowHeight="11.5" x14ac:dyDescent="0.2"/>
  <cols>
    <col min="1" max="1" width="19.453125" style="418" customWidth="1"/>
    <col min="2" max="2" width="30.08984375" style="418" customWidth="1"/>
    <col min="3" max="3" width="9.6328125" style="418" hidden="1" customWidth="1"/>
    <col min="4" max="4" width="11.6328125" style="430" customWidth="1"/>
    <col min="5" max="5" width="10" style="418" customWidth="1"/>
    <col min="6" max="6" width="8.08984375" style="418" customWidth="1"/>
    <col min="7" max="7" width="27" style="418" customWidth="1"/>
    <col min="8" max="17" width="16.08984375" style="442" customWidth="1"/>
    <col min="18" max="18" width="17.90625" style="418" customWidth="1"/>
    <col min="19" max="19" width="32.90625" style="418" customWidth="1"/>
    <col min="20" max="20" width="14.90625" style="418" customWidth="1"/>
    <col min="21" max="16384" width="9" style="418"/>
  </cols>
  <sheetData>
    <row r="1" spans="1:20" x14ac:dyDescent="0.2">
      <c r="A1" s="421" t="s">
        <v>315</v>
      </c>
      <c r="H1" s="414"/>
      <c r="I1" s="414"/>
      <c r="J1" s="414"/>
      <c r="K1" s="414"/>
      <c r="L1" s="414"/>
      <c r="M1" s="414"/>
      <c r="N1" s="414"/>
      <c r="O1" s="414"/>
      <c r="P1" s="414"/>
      <c r="Q1" s="414"/>
    </row>
    <row r="2" spans="1:20" x14ac:dyDescent="0.2">
      <c r="A2" s="421" t="s">
        <v>215</v>
      </c>
      <c r="H2" s="453" t="s">
        <v>240</v>
      </c>
      <c r="I2" s="453" t="s">
        <v>240</v>
      </c>
      <c r="J2" s="453" t="s">
        <v>240</v>
      </c>
      <c r="K2" s="453" t="s">
        <v>240</v>
      </c>
      <c r="L2" s="453" t="s">
        <v>240</v>
      </c>
      <c r="M2" s="453" t="s">
        <v>240</v>
      </c>
      <c r="N2" s="453" t="s">
        <v>240</v>
      </c>
      <c r="O2" s="453" t="s">
        <v>240</v>
      </c>
      <c r="P2" s="453" t="s">
        <v>240</v>
      </c>
      <c r="Q2" s="453" t="s">
        <v>240</v>
      </c>
    </row>
    <row r="3" spans="1:20" x14ac:dyDescent="0.2">
      <c r="A3" s="421"/>
      <c r="H3" s="1350" t="s">
        <v>337</v>
      </c>
      <c r="I3" s="1350"/>
      <c r="J3" s="1350"/>
      <c r="K3" s="1350"/>
      <c r="L3" s="1351" t="s">
        <v>338</v>
      </c>
      <c r="M3" s="1351"/>
      <c r="N3" s="1351"/>
      <c r="O3" s="1351"/>
      <c r="P3" s="1350" t="s">
        <v>357</v>
      </c>
      <c r="Q3" s="1350"/>
    </row>
    <row r="4" spans="1:20" ht="22" x14ac:dyDescent="0.2">
      <c r="A4" s="419" t="s">
        <v>203</v>
      </c>
      <c r="B4" s="419" t="s">
        <v>204</v>
      </c>
      <c r="C4" s="419"/>
      <c r="D4" s="467" t="s">
        <v>241</v>
      </c>
      <c r="E4" s="419"/>
      <c r="F4" s="419" t="s">
        <v>233</v>
      </c>
      <c r="G4" s="419" t="s">
        <v>216</v>
      </c>
      <c r="H4" s="443" t="s">
        <v>238</v>
      </c>
      <c r="I4" s="443" t="s">
        <v>230</v>
      </c>
      <c r="J4" s="443" t="s">
        <v>231</v>
      </c>
      <c r="K4" s="443" t="s">
        <v>232</v>
      </c>
      <c r="L4" s="443" t="s">
        <v>229</v>
      </c>
      <c r="M4" s="443" t="s">
        <v>230</v>
      </c>
      <c r="N4" s="443" t="s">
        <v>231</v>
      </c>
      <c r="O4" s="443" t="s">
        <v>232</v>
      </c>
      <c r="P4" s="443" t="s">
        <v>358</v>
      </c>
      <c r="Q4" s="443" t="s">
        <v>359</v>
      </c>
      <c r="R4" s="421"/>
      <c r="T4" s="421"/>
    </row>
    <row r="5" spans="1:20" x14ac:dyDescent="0.2">
      <c r="A5" s="422" t="s">
        <v>205</v>
      </c>
      <c r="B5" s="423"/>
      <c r="C5" s="420"/>
      <c r="D5" s="468"/>
      <c r="E5" s="420"/>
      <c r="F5" s="420"/>
      <c r="G5" s="420"/>
      <c r="H5" s="444"/>
      <c r="I5" s="444"/>
      <c r="J5" s="444"/>
      <c r="K5" s="444"/>
      <c r="L5" s="444"/>
      <c r="M5" s="444"/>
      <c r="N5" s="444"/>
      <c r="O5" s="444"/>
      <c r="P5" s="444"/>
      <c r="Q5" s="444"/>
      <c r="S5" s="416"/>
    </row>
    <row r="6" spans="1:20" x14ac:dyDescent="0.2">
      <c r="A6" s="422"/>
      <c r="B6" s="423"/>
      <c r="C6" s="420"/>
      <c r="D6" s="468"/>
      <c r="E6" s="420"/>
      <c r="F6" s="420"/>
      <c r="G6" s="420"/>
      <c r="H6" s="444"/>
      <c r="I6" s="444"/>
      <c r="J6" s="444"/>
      <c r="K6" s="444"/>
      <c r="L6" s="444"/>
      <c r="M6" s="444"/>
      <c r="N6" s="444"/>
      <c r="O6" s="444"/>
      <c r="P6" s="444"/>
      <c r="Q6" s="444"/>
      <c r="S6" s="454"/>
    </row>
    <row r="7" spans="1:20" x14ac:dyDescent="0.2">
      <c r="A7" s="422"/>
      <c r="B7" s="423"/>
      <c r="C7" s="420"/>
      <c r="D7" s="468"/>
      <c r="E7" s="420"/>
      <c r="F7" s="420"/>
      <c r="G7" s="420"/>
      <c r="H7" s="444"/>
      <c r="I7" s="444"/>
      <c r="J7" s="444"/>
      <c r="K7" s="444"/>
      <c r="L7" s="444"/>
      <c r="M7" s="444"/>
      <c r="N7" s="444"/>
      <c r="O7" s="444"/>
      <c r="P7" s="444"/>
      <c r="Q7" s="444"/>
      <c r="R7" s="591"/>
      <c r="S7" s="416"/>
    </row>
    <row r="8" spans="1:20" x14ac:dyDescent="0.2">
      <c r="A8" s="422"/>
      <c r="B8" s="433" t="s">
        <v>313</v>
      </c>
      <c r="C8" s="434"/>
      <c r="D8" s="469"/>
      <c r="E8" s="434"/>
      <c r="F8" s="435" t="s">
        <v>314</v>
      </c>
      <c r="G8" s="435" t="s">
        <v>336</v>
      </c>
      <c r="H8" s="445"/>
      <c r="I8" s="445"/>
      <c r="J8" s="445"/>
      <c r="K8" s="445"/>
      <c r="L8" s="445"/>
      <c r="M8" s="445"/>
      <c r="N8" s="445"/>
      <c r="O8" s="445"/>
      <c r="P8" s="445"/>
      <c r="Q8" s="445"/>
      <c r="R8" s="591"/>
      <c r="S8" s="416"/>
    </row>
    <row r="9" spans="1:20" x14ac:dyDescent="0.2">
      <c r="A9" s="425" t="s">
        <v>486</v>
      </c>
      <c r="B9" s="436" t="str">
        <f>インプット!B73</f>
        <v>設備費用</v>
      </c>
      <c r="C9" s="437"/>
      <c r="D9" s="470">
        <f>インプット!E73</f>
        <v>1172767333.5254302</v>
      </c>
      <c r="E9" s="437" t="s">
        <v>244</v>
      </c>
      <c r="F9" s="563">
        <f>インプット!$F$73</f>
        <v>0.25</v>
      </c>
      <c r="G9" s="564" t="str">
        <f>インプット!$G$73</f>
        <v>はん用機械器具製造業</v>
      </c>
      <c r="H9" s="446">
        <f>IFERROR(VLOOKUP($G9,波及効果シート!$A$4:$Z$45,2,FALSE),0)</f>
        <v>0.12035066439076711</v>
      </c>
      <c r="I9" s="446">
        <f>IFERROR(VLOOKUP($G9,波及効果シート!$A$4:$Z$45,3,FALSE),0)</f>
        <v>5.17034457439845E-2</v>
      </c>
      <c r="J9" s="446">
        <f>IFERROR(VLOOKUP($G9,波及効果シート!$A$4:$Z$45,4,FALSE),0)</f>
        <v>1.7402412098426419E-2</v>
      </c>
      <c r="K9" s="446">
        <f>IFERROR(VLOOKUP($G9,波及効果シート!$A$4:$Z$45,5,FALSE),0)</f>
        <v>7.8856553473945334E-3</v>
      </c>
      <c r="L9" s="446">
        <f>IFERROR(VLOOKUP($G9,波及効果シート!$A$4:$Z$45,6,FALSE),0)</f>
        <v>6.9107282430702549E-2</v>
      </c>
      <c r="M9" s="446">
        <f>IFERROR(VLOOKUP($G9,波及効果シート!$A$4:$Z$45,7,FALSE),0)</f>
        <v>6.5758508258294962E-2</v>
      </c>
      <c r="N9" s="446">
        <f>IFERROR(VLOOKUP($G9,波及効果シート!$A$4:$Z$45,8,FALSE),0)</f>
        <v>1.4754532814500761E-2</v>
      </c>
      <c r="O9" s="446">
        <f>IFERROR(VLOOKUP($G9,波及効果シート!$A$4:$Z$45,9,FALSE),0)</f>
        <v>5.0814239267871235E-3</v>
      </c>
      <c r="P9" s="446">
        <f>IFERROR(VLOOKUP($G9,#REF!,13,FALSE),0)</f>
        <v>0</v>
      </c>
      <c r="Q9" s="446">
        <f>IFERROR(VLOOKUP($G9,#REF!,14,FALSE),0)</f>
        <v>0</v>
      </c>
      <c r="R9" s="592"/>
      <c r="S9" s="416"/>
    </row>
    <row r="10" spans="1:20" x14ac:dyDescent="0.2">
      <c r="A10" s="425"/>
      <c r="B10" s="420"/>
      <c r="C10" s="424"/>
      <c r="D10" s="568"/>
      <c r="E10" s="424"/>
      <c r="F10" s="565">
        <f>インプット!$H$73</f>
        <v>0</v>
      </c>
      <c r="G10" s="564">
        <f>インプット!$I$73</f>
        <v>0</v>
      </c>
      <c r="H10" s="446">
        <f>IFERROR(VLOOKUP($G10,波及効果シート!$A$4:$Z$45,2,FALSE),0)</f>
        <v>0</v>
      </c>
      <c r="I10" s="446">
        <f>IFERROR(VLOOKUP($G10,波及効果シート!$A$4:$Z$45,3,FALSE),0)</f>
        <v>0</v>
      </c>
      <c r="J10" s="446">
        <f>IFERROR(VLOOKUP($G10,波及効果シート!$A$4:$Z$45,4,FALSE),0)</f>
        <v>0</v>
      </c>
      <c r="K10" s="446">
        <f>IFERROR(VLOOKUP($G10,波及効果シート!$A$4:$Z$45,5,FALSE),0)</f>
        <v>0</v>
      </c>
      <c r="L10" s="446">
        <f>IFERROR(VLOOKUP($G10,波及効果シート!$A$4:$Z$45,6,FALSE),0)</f>
        <v>0</v>
      </c>
      <c r="M10" s="446">
        <f>IFERROR(VLOOKUP($G10,波及効果シート!$A$4:$Z$45,7,FALSE),0)</f>
        <v>0</v>
      </c>
      <c r="N10" s="446">
        <f>IFERROR(VLOOKUP($G10,波及効果シート!$A$4:$Z$45,8,FALSE),0)</f>
        <v>0</v>
      </c>
      <c r="O10" s="446">
        <f>IFERROR(VLOOKUP($G10,波及効果シート!$A$4:$Z$45,9,FALSE),0)</f>
        <v>0</v>
      </c>
      <c r="P10" s="446">
        <f>IFERROR(VLOOKUP($G10,#REF!,13,FALSE),0)</f>
        <v>0</v>
      </c>
      <c r="Q10" s="446">
        <f>IFERROR(VLOOKUP($G10,#REF!,14,FALSE),0)</f>
        <v>0</v>
      </c>
      <c r="R10" s="592"/>
      <c r="S10" s="417"/>
    </row>
    <row r="11" spans="1:20" x14ac:dyDescent="0.2">
      <c r="A11" s="425"/>
      <c r="B11" s="420"/>
      <c r="C11" s="424"/>
      <c r="D11" s="471"/>
      <c r="E11" s="424"/>
      <c r="F11" s="565">
        <f>インプット!$J$73</f>
        <v>0</v>
      </c>
      <c r="G11" s="564">
        <f>インプット!$K$73</f>
        <v>0</v>
      </c>
      <c r="H11" s="446">
        <f>IFERROR(VLOOKUP($G11,波及効果シート!$A$4:$Z$45,2,FALSE),0)</f>
        <v>0</v>
      </c>
      <c r="I11" s="446">
        <f>IFERROR(VLOOKUP($G11,波及効果シート!$A$4:$Z$45,3,FALSE),0)</f>
        <v>0</v>
      </c>
      <c r="J11" s="446">
        <f>IFERROR(VLOOKUP($G11,波及効果シート!$A$4:$Z$45,4,FALSE),0)</f>
        <v>0</v>
      </c>
      <c r="K11" s="446">
        <f>IFERROR(VLOOKUP($G11,波及効果シート!$A$4:$Z$45,5,FALSE),0)</f>
        <v>0</v>
      </c>
      <c r="L11" s="446">
        <f>IFERROR(VLOOKUP($G11,波及効果シート!$A$4:$Z$45,6,FALSE),0)</f>
        <v>0</v>
      </c>
      <c r="M11" s="446">
        <f>IFERROR(VLOOKUP($G11,波及効果シート!$A$4:$Z$45,7,FALSE),0)</f>
        <v>0</v>
      </c>
      <c r="N11" s="446">
        <f>IFERROR(VLOOKUP($G11,波及効果シート!$A$4:$Z$45,8,FALSE),0)</f>
        <v>0</v>
      </c>
      <c r="O11" s="446">
        <f>IFERROR(VLOOKUP($G11,波及効果シート!$A$4:$Z$45,9,FALSE),0)</f>
        <v>0</v>
      </c>
      <c r="P11" s="446">
        <f>IFERROR(VLOOKUP($G11,#REF!,13,FALSE),0)</f>
        <v>0</v>
      </c>
      <c r="Q11" s="446">
        <f>IFERROR(VLOOKUP($G11,#REF!,14,FALSE),0)</f>
        <v>0</v>
      </c>
      <c r="R11" s="592"/>
      <c r="S11" s="417"/>
    </row>
    <row r="12" spans="1:20" x14ac:dyDescent="0.2">
      <c r="A12" s="425"/>
      <c r="B12" s="435"/>
      <c r="C12" s="435"/>
      <c r="D12" s="472"/>
      <c r="E12" s="438"/>
      <c r="F12" s="602">
        <f>1-SUM(F9:F11)</f>
        <v>0.75</v>
      </c>
      <c r="G12" s="603" t="s">
        <v>243</v>
      </c>
      <c r="H12" s="448"/>
      <c r="I12" s="448"/>
      <c r="J12" s="448"/>
      <c r="K12" s="448"/>
      <c r="L12" s="448"/>
      <c r="M12" s="448"/>
      <c r="N12" s="448"/>
      <c r="O12" s="448"/>
      <c r="P12" s="448"/>
      <c r="Q12" s="448"/>
      <c r="R12" s="592"/>
      <c r="S12" s="417"/>
    </row>
    <row r="13" spans="1:20" x14ac:dyDescent="0.2">
      <c r="A13" s="425"/>
      <c r="B13" s="436" t="str">
        <f>インプット!B76</f>
        <v>工事費</v>
      </c>
      <c r="C13" s="437"/>
      <c r="D13" s="470">
        <f>インプット!E76</f>
        <v>390922444.50847667</v>
      </c>
      <c r="E13" s="437" t="s">
        <v>244</v>
      </c>
      <c r="F13" s="563">
        <f>インプット!$F$76</f>
        <v>0.5</v>
      </c>
      <c r="G13" s="564" t="str">
        <f>インプット!$G$76</f>
        <v>建設業</v>
      </c>
      <c r="H13" s="446">
        <f>IFERROR(VLOOKUP($G13,波及効果シート!$A$4:$Z$45,2,FALSE),0)</f>
        <v>9.92056550331082E-2</v>
      </c>
      <c r="I13" s="446">
        <f>IFERROR(VLOOKUP($G13,波及効果シート!$A$4:$Z$45,3,FALSE),0)</f>
        <v>3.2870000362654708E-2</v>
      </c>
      <c r="J13" s="446">
        <f>IFERROR(VLOOKUP($G13,波及効果シート!$A$4:$Z$45,4,FALSE),0)</f>
        <v>1.3057809469373637E-2</v>
      </c>
      <c r="K13" s="446">
        <f>IFERROR(VLOOKUP($G13,波及効果シート!$A$4:$Z$45,5,FALSE),0)</f>
        <v>6.3506165233209585E-3</v>
      </c>
      <c r="L13" s="446">
        <f>IFERROR(VLOOKUP($G13,波及効果シート!$A$4:$Z$45,6,FALSE),0)</f>
        <v>8.1679427106096936E-2</v>
      </c>
      <c r="M13" s="446">
        <f>IFERROR(VLOOKUP($G13,波及効果シート!$A$4:$Z$45,7,FALSE),0)</f>
        <v>7.4170209261148812E-2</v>
      </c>
      <c r="N13" s="446">
        <f>IFERROR(VLOOKUP($G13,波及効果シート!$A$4:$Z$45,8,FALSE),0)</f>
        <v>1.6969887233812597E-2</v>
      </c>
      <c r="O13" s="446">
        <f>IFERROR(VLOOKUP($G13,波及効果シート!$A$4:$Z$45,9,FALSE),0)</f>
        <v>5.9513669766058912E-3</v>
      </c>
      <c r="P13" s="446">
        <f>IFERROR(VLOOKUP($G13,#REF!,13,FALSE),0)</f>
        <v>0</v>
      </c>
      <c r="Q13" s="446">
        <f>IFERROR(VLOOKUP($G13,#REF!,14,FALSE),0)</f>
        <v>0</v>
      </c>
      <c r="R13" s="592"/>
      <c r="S13" s="417"/>
    </row>
    <row r="14" spans="1:20" x14ac:dyDescent="0.2">
      <c r="A14" s="425"/>
      <c r="B14" s="420"/>
      <c r="C14" s="420"/>
      <c r="D14" s="568"/>
      <c r="E14" s="424"/>
      <c r="F14" s="565">
        <f>インプット!$H$76</f>
        <v>0</v>
      </c>
      <c r="G14" s="564">
        <f>インプット!$I$76</f>
        <v>0</v>
      </c>
      <c r="H14" s="446">
        <f>IFERROR(VLOOKUP($G14,波及効果シート!$A$4:$Z$45,2,FALSE),0)</f>
        <v>0</v>
      </c>
      <c r="I14" s="446">
        <f>IFERROR(VLOOKUP($G14,波及効果シート!$A$4:$Z$45,3,FALSE),0)</f>
        <v>0</v>
      </c>
      <c r="J14" s="446">
        <f>IFERROR(VLOOKUP($G14,波及効果シート!$A$4:$Z$45,4,FALSE),0)</f>
        <v>0</v>
      </c>
      <c r="K14" s="446">
        <f>IFERROR(VLOOKUP($G14,波及効果シート!$A$4:$Z$45,5,FALSE),0)</f>
        <v>0</v>
      </c>
      <c r="L14" s="446">
        <f>IFERROR(VLOOKUP($G14,波及効果シート!$A$4:$Z$45,6,FALSE),0)</f>
        <v>0</v>
      </c>
      <c r="M14" s="446">
        <f>IFERROR(VLOOKUP($G14,波及効果シート!$A$4:$Z$45,7,FALSE),0)</f>
        <v>0</v>
      </c>
      <c r="N14" s="446">
        <f>IFERROR(VLOOKUP($G14,波及効果シート!$A$4:$Z$45,8,FALSE),0)</f>
        <v>0</v>
      </c>
      <c r="O14" s="446">
        <f>IFERROR(VLOOKUP($G14,波及効果シート!$A$4:$Z$45,9,FALSE),0)</f>
        <v>0</v>
      </c>
      <c r="P14" s="446">
        <f>IFERROR(VLOOKUP($G14,#REF!,13,FALSE),0)</f>
        <v>0</v>
      </c>
      <c r="Q14" s="446">
        <f>IFERROR(VLOOKUP($G14,#REF!,14,FALSE),0)</f>
        <v>0</v>
      </c>
      <c r="R14" s="592"/>
      <c r="S14" s="417"/>
    </row>
    <row r="15" spans="1:20" x14ac:dyDescent="0.2">
      <c r="A15" s="425"/>
      <c r="B15" s="436"/>
      <c r="C15" s="420"/>
      <c r="D15" s="468"/>
      <c r="E15" s="420"/>
      <c r="F15" s="565">
        <f>インプット!$J$76</f>
        <v>0</v>
      </c>
      <c r="G15" s="564">
        <f>インプット!$K$76</f>
        <v>0</v>
      </c>
      <c r="H15" s="446">
        <f>IFERROR(VLOOKUP($G15,波及効果シート!$A$4:$Z$45,2,FALSE),0)</f>
        <v>0</v>
      </c>
      <c r="I15" s="446">
        <f>IFERROR(VLOOKUP($G15,波及効果シート!$A$4:$Z$45,3,FALSE),0)</f>
        <v>0</v>
      </c>
      <c r="J15" s="446">
        <f>IFERROR(VLOOKUP($G15,波及効果シート!$A$4:$Z$45,4,FALSE),0)</f>
        <v>0</v>
      </c>
      <c r="K15" s="446">
        <f>IFERROR(VLOOKUP($G15,波及効果シート!$A$4:$Z$45,5,FALSE),0)</f>
        <v>0</v>
      </c>
      <c r="L15" s="446">
        <f>IFERROR(VLOOKUP($G15,波及効果シート!$A$4:$Z$45,6,FALSE),0)</f>
        <v>0</v>
      </c>
      <c r="M15" s="446">
        <f>IFERROR(VLOOKUP($G15,波及効果シート!$A$4:$Z$45,7,FALSE),0)</f>
        <v>0</v>
      </c>
      <c r="N15" s="446">
        <f>IFERROR(VLOOKUP($G15,波及効果シート!$A$4:$Z$45,8,FALSE),0)</f>
        <v>0</v>
      </c>
      <c r="O15" s="446">
        <f>IFERROR(VLOOKUP($G15,波及効果シート!$A$4:$Z$45,9,FALSE),0)</f>
        <v>0</v>
      </c>
      <c r="P15" s="446">
        <f>IFERROR(VLOOKUP($G15,#REF!,13,FALSE),0)</f>
        <v>0</v>
      </c>
      <c r="Q15" s="446">
        <f>IFERROR(VLOOKUP($G15,#REF!,14,FALSE),0)</f>
        <v>0</v>
      </c>
      <c r="R15" s="592"/>
      <c r="S15" s="421"/>
    </row>
    <row r="16" spans="1:20" x14ac:dyDescent="0.2">
      <c r="A16" s="425"/>
      <c r="B16" s="439"/>
      <c r="C16" s="435"/>
      <c r="D16" s="473"/>
      <c r="E16" s="435"/>
      <c r="F16" s="602">
        <f>1-SUM(F13:F15)</f>
        <v>0.5</v>
      </c>
      <c r="G16" s="603" t="s">
        <v>243</v>
      </c>
      <c r="H16" s="448"/>
      <c r="I16" s="448"/>
      <c r="J16" s="448"/>
      <c r="K16" s="448"/>
      <c r="L16" s="448"/>
      <c r="M16" s="448"/>
      <c r="N16" s="448"/>
      <c r="O16" s="448"/>
      <c r="P16" s="448"/>
      <c r="Q16" s="448"/>
      <c r="R16" s="592"/>
      <c r="S16" s="417"/>
    </row>
    <row r="17" spans="1:18" x14ac:dyDescent="0.2">
      <c r="A17" s="425"/>
      <c r="B17" s="436">
        <f>インプット!B79</f>
        <v>0</v>
      </c>
      <c r="C17" s="436"/>
      <c r="D17" s="470">
        <f>インプット!E79</f>
        <v>0</v>
      </c>
      <c r="E17" s="437" t="s">
        <v>244</v>
      </c>
      <c r="F17" s="563">
        <f>インプット!$F$79</f>
        <v>0.5</v>
      </c>
      <c r="G17" s="564">
        <f>インプット!$G$79</f>
        <v>0</v>
      </c>
      <c r="H17" s="446">
        <f>IFERROR(VLOOKUP($G17,波及効果シート!$A$4:$Z$45,2,FALSE),0)</f>
        <v>0</v>
      </c>
      <c r="I17" s="446">
        <f>IFERROR(VLOOKUP($G17,波及効果シート!$A$4:$Z$45,3,FALSE),0)</f>
        <v>0</v>
      </c>
      <c r="J17" s="446">
        <f>IFERROR(VLOOKUP($G17,波及効果シート!$A$4:$Z$45,4,FALSE),0)</f>
        <v>0</v>
      </c>
      <c r="K17" s="446">
        <f>IFERROR(VLOOKUP($G17,波及効果シート!$A$4:$Z$45,5,FALSE),0)</f>
        <v>0</v>
      </c>
      <c r="L17" s="446">
        <f>IFERROR(VLOOKUP($G17,波及効果シート!$A$4:$Z$45,6,FALSE),0)</f>
        <v>0</v>
      </c>
      <c r="M17" s="446">
        <f>IFERROR(VLOOKUP($G17,波及効果シート!$A$4:$Z$45,7,FALSE),0)</f>
        <v>0</v>
      </c>
      <c r="N17" s="446">
        <f>IFERROR(VLOOKUP($G17,波及効果シート!$A$4:$Z$45,8,FALSE),0)</f>
        <v>0</v>
      </c>
      <c r="O17" s="446">
        <f>IFERROR(VLOOKUP($G17,波及効果シート!$A$4:$Z$45,9,FALSE),0)</f>
        <v>0</v>
      </c>
      <c r="P17" s="446">
        <f>IFERROR(VLOOKUP($G17,#REF!,13,FALSE),0)</f>
        <v>0</v>
      </c>
      <c r="Q17" s="446">
        <f>IFERROR(VLOOKUP($G17,#REF!,14,FALSE),0)</f>
        <v>0</v>
      </c>
      <c r="R17" s="592"/>
    </row>
    <row r="18" spans="1:18" x14ac:dyDescent="0.2">
      <c r="A18" s="425"/>
      <c r="B18" s="420"/>
      <c r="C18" s="420"/>
      <c r="D18" s="568"/>
      <c r="E18" s="424"/>
      <c r="F18" s="565">
        <f>インプット!$H$79</f>
        <v>0</v>
      </c>
      <c r="G18" s="564">
        <f>インプット!$I$79</f>
        <v>0</v>
      </c>
      <c r="H18" s="446">
        <f>IFERROR(VLOOKUP($G18,波及効果シート!$A$4:$Z$45,2,FALSE),0)</f>
        <v>0</v>
      </c>
      <c r="I18" s="446">
        <f>IFERROR(VLOOKUP($G18,波及効果シート!$A$4:$Z$45,3,FALSE),0)</f>
        <v>0</v>
      </c>
      <c r="J18" s="446">
        <f>IFERROR(VLOOKUP($G18,波及効果シート!$A$4:$Z$45,4,FALSE),0)</f>
        <v>0</v>
      </c>
      <c r="K18" s="446">
        <f>IFERROR(VLOOKUP($G18,波及効果シート!$A$4:$Z$45,5,FALSE),0)</f>
        <v>0</v>
      </c>
      <c r="L18" s="446">
        <f>IFERROR(VLOOKUP($G18,波及効果シート!$A$4:$Z$45,6,FALSE),0)</f>
        <v>0</v>
      </c>
      <c r="M18" s="446">
        <f>IFERROR(VLOOKUP($G18,波及効果シート!$A$4:$Z$45,7,FALSE),0)</f>
        <v>0</v>
      </c>
      <c r="N18" s="446">
        <f>IFERROR(VLOOKUP($G18,波及効果シート!$A$4:$Z$45,8,FALSE),0)</f>
        <v>0</v>
      </c>
      <c r="O18" s="446">
        <f>IFERROR(VLOOKUP($G18,波及効果シート!$A$4:$Z$45,9,FALSE),0)</f>
        <v>0</v>
      </c>
      <c r="P18" s="446">
        <f>IFERROR(VLOOKUP($G18,#REF!,13,FALSE),0)</f>
        <v>0</v>
      </c>
      <c r="Q18" s="446">
        <f>IFERROR(VLOOKUP($G18,#REF!,14,FALSE),0)</f>
        <v>0</v>
      </c>
      <c r="R18" s="592"/>
    </row>
    <row r="19" spans="1:18" x14ac:dyDescent="0.2">
      <c r="A19" s="425"/>
      <c r="B19" s="420"/>
      <c r="C19" s="420"/>
      <c r="D19" s="468"/>
      <c r="E19" s="420"/>
      <c r="F19" s="565">
        <f>インプット!$J$79</f>
        <v>0</v>
      </c>
      <c r="G19" s="564">
        <f>インプット!$K$79</f>
        <v>0</v>
      </c>
      <c r="H19" s="446">
        <f>IFERROR(VLOOKUP($G19,波及効果シート!$A$4:$Z$45,2,FALSE),0)</f>
        <v>0</v>
      </c>
      <c r="I19" s="446">
        <f>IFERROR(VLOOKUP($G19,波及効果シート!$A$4:$Z$45,3,FALSE),0)</f>
        <v>0</v>
      </c>
      <c r="J19" s="446">
        <f>IFERROR(VLOOKUP($G19,波及効果シート!$A$4:$Z$45,4,FALSE),0)</f>
        <v>0</v>
      </c>
      <c r="K19" s="446">
        <f>IFERROR(VLOOKUP($G19,波及効果シート!$A$4:$Z$45,5,FALSE),0)</f>
        <v>0</v>
      </c>
      <c r="L19" s="446">
        <f>IFERROR(VLOOKUP($G19,波及効果シート!$A$4:$Z$45,6,FALSE),0)</f>
        <v>0</v>
      </c>
      <c r="M19" s="446">
        <f>IFERROR(VLOOKUP($G19,波及効果シート!$A$4:$Z$45,7,FALSE),0)</f>
        <v>0</v>
      </c>
      <c r="N19" s="446">
        <f>IFERROR(VLOOKUP($G19,波及効果シート!$A$4:$Z$45,8,FALSE),0)</f>
        <v>0</v>
      </c>
      <c r="O19" s="446">
        <f>IFERROR(VLOOKUP($G19,波及効果シート!$A$4:$Z$45,9,FALSE),0)</f>
        <v>0</v>
      </c>
      <c r="P19" s="446">
        <f>IFERROR(VLOOKUP($G19,#REF!,13,FALSE),0)</f>
        <v>0</v>
      </c>
      <c r="Q19" s="446">
        <f>IFERROR(VLOOKUP($G19,#REF!,14,FALSE),0)</f>
        <v>0</v>
      </c>
      <c r="R19" s="592"/>
    </row>
    <row r="20" spans="1:18" x14ac:dyDescent="0.2">
      <c r="A20" s="425"/>
      <c r="B20" s="435"/>
      <c r="C20" s="435"/>
      <c r="D20" s="473"/>
      <c r="E20" s="435"/>
      <c r="F20" s="602">
        <f>1-SUM(F17:F19)</f>
        <v>0.5</v>
      </c>
      <c r="G20" s="603" t="s">
        <v>243</v>
      </c>
      <c r="H20" s="448"/>
      <c r="I20" s="448"/>
      <c r="J20" s="448"/>
      <c r="K20" s="448"/>
      <c r="L20" s="448"/>
      <c r="M20" s="448"/>
      <c r="N20" s="448"/>
      <c r="O20" s="448"/>
      <c r="P20" s="448"/>
      <c r="Q20" s="448"/>
      <c r="R20" s="592"/>
    </row>
    <row r="21" spans="1:18" x14ac:dyDescent="0.2">
      <c r="A21" s="425"/>
      <c r="B21" s="439" t="str">
        <f>インプット!B82</f>
        <v>＜設備費目を入力＞</v>
      </c>
      <c r="C21" s="439"/>
      <c r="D21" s="470">
        <f>インプット!E82</f>
        <v>0</v>
      </c>
      <c r="E21" s="437" t="s">
        <v>371</v>
      </c>
      <c r="F21" s="563">
        <f>インプット!$F$82</f>
        <v>0</v>
      </c>
      <c r="G21" s="564">
        <f>インプット!$G$82</f>
        <v>0</v>
      </c>
      <c r="H21" s="446">
        <f>IFERROR(VLOOKUP($G21,波及効果シート!$A$4:$Z$45,2,FALSE),0)</f>
        <v>0</v>
      </c>
      <c r="I21" s="446">
        <f>IFERROR(VLOOKUP($G21,波及効果シート!$A$4:$Z$45,3,FALSE),0)</f>
        <v>0</v>
      </c>
      <c r="J21" s="446">
        <f>IFERROR(VLOOKUP($G21,波及効果シート!$A$4:$Z$45,4,FALSE),0)</f>
        <v>0</v>
      </c>
      <c r="K21" s="446">
        <f>IFERROR(VLOOKUP($G21,波及効果シート!$A$4:$Z$45,5,FALSE),0)</f>
        <v>0</v>
      </c>
      <c r="L21" s="446">
        <f>IFERROR(VLOOKUP($G21,波及効果シート!$A$4:$Z$45,6,FALSE),0)</f>
        <v>0</v>
      </c>
      <c r="M21" s="446">
        <f>IFERROR(VLOOKUP($G21,波及効果シート!$A$4:$Z$45,7,FALSE),0)</f>
        <v>0</v>
      </c>
      <c r="N21" s="446">
        <f>IFERROR(VLOOKUP($G21,波及効果シート!$A$4:$Z$45,8,FALSE),0)</f>
        <v>0</v>
      </c>
      <c r="O21" s="446">
        <f>IFERROR(VLOOKUP($G21,波及効果シート!$A$4:$Z$45,9,FALSE),0)</f>
        <v>0</v>
      </c>
      <c r="P21" s="446">
        <f>IFERROR(VLOOKUP($G21,#REF!,13,FALSE),0)</f>
        <v>0</v>
      </c>
      <c r="Q21" s="446">
        <f>IFERROR(VLOOKUP($G21,#REF!,14,FALSE),0)</f>
        <v>0</v>
      </c>
      <c r="R21" s="592"/>
    </row>
    <row r="22" spans="1:18" x14ac:dyDescent="0.2">
      <c r="A22" s="425"/>
      <c r="B22" s="420"/>
      <c r="C22" s="420"/>
      <c r="D22" s="568"/>
      <c r="E22" s="424"/>
      <c r="F22" s="565">
        <f>インプット!$H$82</f>
        <v>0</v>
      </c>
      <c r="G22" s="564">
        <f>インプット!$I$82</f>
        <v>0</v>
      </c>
      <c r="H22" s="446">
        <f>IFERROR(VLOOKUP($G22,波及効果シート!$A$4:$Z$45,2,FALSE),0)</f>
        <v>0</v>
      </c>
      <c r="I22" s="446">
        <f>IFERROR(VLOOKUP($G22,波及効果シート!$A$4:$Z$45,3,FALSE),0)</f>
        <v>0</v>
      </c>
      <c r="J22" s="446">
        <f>IFERROR(VLOOKUP($G22,波及効果シート!$A$4:$Z$45,4,FALSE),0)</f>
        <v>0</v>
      </c>
      <c r="K22" s="446">
        <f>IFERROR(VLOOKUP($G22,波及効果シート!$A$4:$Z$45,5,FALSE),0)</f>
        <v>0</v>
      </c>
      <c r="L22" s="446">
        <f>IFERROR(VLOOKUP($G22,波及効果シート!$A$4:$Z$45,6,FALSE),0)</f>
        <v>0</v>
      </c>
      <c r="M22" s="446">
        <f>IFERROR(VLOOKUP($G22,波及効果シート!$A$4:$Z$45,7,FALSE),0)</f>
        <v>0</v>
      </c>
      <c r="N22" s="446">
        <f>IFERROR(VLOOKUP($G22,波及効果シート!$A$4:$Z$45,8,FALSE),0)</f>
        <v>0</v>
      </c>
      <c r="O22" s="446">
        <f>IFERROR(VLOOKUP($G22,波及効果シート!$A$4:$Z$45,9,FALSE),0)</f>
        <v>0</v>
      </c>
      <c r="P22" s="446">
        <f>IFERROR(VLOOKUP($G22,#REF!,13,FALSE),0)</f>
        <v>0</v>
      </c>
      <c r="Q22" s="446">
        <f>IFERROR(VLOOKUP($G22,#REF!,14,FALSE),0)</f>
        <v>0</v>
      </c>
      <c r="R22" s="592"/>
    </row>
    <row r="23" spans="1:18" x14ac:dyDescent="0.2">
      <c r="A23" s="425"/>
      <c r="B23" s="420"/>
      <c r="C23" s="420"/>
      <c r="D23" s="468"/>
      <c r="E23" s="420"/>
      <c r="F23" s="565">
        <f>インプット!$J$82</f>
        <v>0</v>
      </c>
      <c r="G23" s="564">
        <f>インプット!$K$82</f>
        <v>0</v>
      </c>
      <c r="H23" s="446">
        <f>IFERROR(VLOOKUP($G23,波及効果シート!$A$4:$Z$45,2,FALSE),0)</f>
        <v>0</v>
      </c>
      <c r="I23" s="446">
        <f>IFERROR(VLOOKUP($G23,波及効果シート!$A$4:$Z$45,3,FALSE),0)</f>
        <v>0</v>
      </c>
      <c r="J23" s="446">
        <f>IFERROR(VLOOKUP($G23,波及効果シート!$A$4:$Z$45,4,FALSE),0)</f>
        <v>0</v>
      </c>
      <c r="K23" s="446">
        <f>IFERROR(VLOOKUP($G23,波及効果シート!$A$4:$Z$45,5,FALSE),0)</f>
        <v>0</v>
      </c>
      <c r="L23" s="446">
        <f>IFERROR(VLOOKUP($G23,波及効果シート!$A$4:$Z$45,6,FALSE),0)</f>
        <v>0</v>
      </c>
      <c r="M23" s="446">
        <f>IFERROR(VLOOKUP($G23,波及効果シート!$A$4:$Z$45,7,FALSE),0)</f>
        <v>0</v>
      </c>
      <c r="N23" s="446">
        <f>IFERROR(VLOOKUP($G23,波及効果シート!$A$4:$Z$45,8,FALSE),0)</f>
        <v>0</v>
      </c>
      <c r="O23" s="446">
        <f>IFERROR(VLOOKUP($G23,波及効果シート!$A$4:$Z$45,9,FALSE),0)</f>
        <v>0</v>
      </c>
      <c r="P23" s="446">
        <f>IFERROR(VLOOKUP($G23,#REF!,13,FALSE),0)</f>
        <v>0</v>
      </c>
      <c r="Q23" s="446">
        <f>IFERROR(VLOOKUP($G23,#REF!,14,FALSE),0)</f>
        <v>0</v>
      </c>
      <c r="R23" s="592"/>
    </row>
    <row r="24" spans="1:18" x14ac:dyDescent="0.2">
      <c r="A24" s="425"/>
      <c r="B24" s="441"/>
      <c r="C24" s="441"/>
      <c r="D24" s="474"/>
      <c r="E24" s="441"/>
      <c r="F24" s="602">
        <f>1-SUM(F21:F23)</f>
        <v>1</v>
      </c>
      <c r="G24" s="603" t="s">
        <v>243</v>
      </c>
      <c r="H24" s="448"/>
      <c r="I24" s="448"/>
      <c r="J24" s="448"/>
      <c r="K24" s="448"/>
      <c r="L24" s="448"/>
      <c r="M24" s="448"/>
      <c r="N24" s="448"/>
      <c r="O24" s="448"/>
      <c r="P24" s="448"/>
      <c r="Q24" s="448"/>
      <c r="R24" s="592"/>
    </row>
    <row r="25" spans="1:18" x14ac:dyDescent="0.2">
      <c r="A25" s="425"/>
      <c r="B25" s="440" t="str">
        <f>インプット!B85</f>
        <v>＜設備費目を入力＞</v>
      </c>
      <c r="C25" s="440"/>
      <c r="D25" s="470">
        <f>インプット!E85</f>
        <v>0</v>
      </c>
      <c r="E25" s="437" t="s">
        <v>371</v>
      </c>
      <c r="F25" s="563">
        <f>インプット!$F$85</f>
        <v>0</v>
      </c>
      <c r="G25" s="564">
        <f>インプット!$G$85</f>
        <v>0</v>
      </c>
      <c r="H25" s="446">
        <f>IFERROR(VLOOKUP($G25,波及効果シート!$A$4:$Z$45,2,FALSE),0)</f>
        <v>0</v>
      </c>
      <c r="I25" s="446">
        <f>IFERROR(VLOOKUP($G25,波及効果シート!$A$4:$Z$45,3,FALSE),0)</f>
        <v>0</v>
      </c>
      <c r="J25" s="446">
        <f>IFERROR(VLOOKUP($G25,波及効果シート!$A$4:$Z$45,4,FALSE),0)</f>
        <v>0</v>
      </c>
      <c r="K25" s="446">
        <f>IFERROR(VLOOKUP($G25,波及効果シート!$A$4:$Z$45,5,FALSE),0)</f>
        <v>0</v>
      </c>
      <c r="L25" s="446">
        <f>IFERROR(VLOOKUP($G25,波及効果シート!$A$4:$Z$45,6,FALSE),0)</f>
        <v>0</v>
      </c>
      <c r="M25" s="446">
        <f>IFERROR(VLOOKUP($G25,波及効果シート!$A$4:$Z$45,7,FALSE),0)</f>
        <v>0</v>
      </c>
      <c r="N25" s="446">
        <f>IFERROR(VLOOKUP($G25,波及効果シート!$A$4:$Z$45,8,FALSE),0)</f>
        <v>0</v>
      </c>
      <c r="O25" s="446">
        <f>IFERROR(VLOOKUP($G25,波及効果シート!$A$4:$Z$45,9,FALSE),0)</f>
        <v>0</v>
      </c>
      <c r="P25" s="446">
        <f>IFERROR(VLOOKUP($G25,#REF!,13,FALSE),0)</f>
        <v>0</v>
      </c>
      <c r="Q25" s="446">
        <f>IFERROR(VLOOKUP($G25,#REF!,14,FALSE),0)</f>
        <v>0</v>
      </c>
      <c r="R25" s="592"/>
    </row>
    <row r="26" spans="1:18" x14ac:dyDescent="0.2">
      <c r="A26" s="425"/>
      <c r="B26" s="420"/>
      <c r="C26" s="420"/>
      <c r="D26" s="568"/>
      <c r="E26" s="424"/>
      <c r="F26" s="565">
        <f>インプット!$H$85</f>
        <v>0</v>
      </c>
      <c r="G26" s="564">
        <f>インプット!$I$85</f>
        <v>0</v>
      </c>
      <c r="H26" s="446">
        <f>IFERROR(VLOOKUP($G26,波及効果シート!$A$4:$Z$45,2,FALSE),0)</f>
        <v>0</v>
      </c>
      <c r="I26" s="446">
        <f>IFERROR(VLOOKUP($G26,波及効果シート!$A$4:$Z$45,3,FALSE),0)</f>
        <v>0</v>
      </c>
      <c r="J26" s="446">
        <f>IFERROR(VLOOKUP($G26,波及効果シート!$A$4:$Z$45,4,FALSE),0)</f>
        <v>0</v>
      </c>
      <c r="K26" s="446">
        <f>IFERROR(VLOOKUP($G26,波及効果シート!$A$4:$Z$45,5,FALSE),0)</f>
        <v>0</v>
      </c>
      <c r="L26" s="446">
        <f>IFERROR(VLOOKUP($G26,波及効果シート!$A$4:$Z$45,6,FALSE),0)</f>
        <v>0</v>
      </c>
      <c r="M26" s="446">
        <f>IFERROR(VLOOKUP($G26,波及効果シート!$A$4:$Z$45,7,FALSE),0)</f>
        <v>0</v>
      </c>
      <c r="N26" s="446">
        <f>IFERROR(VLOOKUP($G26,波及効果シート!$A$4:$Z$45,8,FALSE),0)</f>
        <v>0</v>
      </c>
      <c r="O26" s="446">
        <f>IFERROR(VLOOKUP($G26,波及効果シート!$A$4:$Z$45,9,FALSE),0)</f>
        <v>0</v>
      </c>
      <c r="P26" s="446">
        <f>IFERROR(VLOOKUP($G26,#REF!,13,FALSE),0)</f>
        <v>0</v>
      </c>
      <c r="Q26" s="446">
        <f>IFERROR(VLOOKUP($G26,#REF!,14,FALSE),0)</f>
        <v>0</v>
      </c>
      <c r="R26" s="592"/>
    </row>
    <row r="27" spans="1:18" x14ac:dyDescent="0.2">
      <c r="A27" s="425"/>
      <c r="B27" s="420"/>
      <c r="C27" s="420"/>
      <c r="D27" s="468"/>
      <c r="E27" s="420"/>
      <c r="F27" s="565">
        <f>インプット!$J$85</f>
        <v>0</v>
      </c>
      <c r="G27" s="564">
        <f>インプット!$K$85</f>
        <v>0</v>
      </c>
      <c r="H27" s="446">
        <f>IFERROR(VLOOKUP($G27,波及効果シート!$A$4:$Z$45,2,FALSE),0)</f>
        <v>0</v>
      </c>
      <c r="I27" s="446">
        <f>IFERROR(VLOOKUP($G27,波及効果シート!$A$4:$Z$45,3,FALSE),0)</f>
        <v>0</v>
      </c>
      <c r="J27" s="446">
        <f>IFERROR(VLOOKUP($G27,波及効果シート!$A$4:$Z$45,4,FALSE),0)</f>
        <v>0</v>
      </c>
      <c r="K27" s="446">
        <f>IFERROR(VLOOKUP($G27,波及効果シート!$A$4:$Z$45,5,FALSE),0)</f>
        <v>0</v>
      </c>
      <c r="L27" s="446">
        <f>IFERROR(VLOOKUP($G27,波及効果シート!$A$4:$Z$45,6,FALSE),0)</f>
        <v>0</v>
      </c>
      <c r="M27" s="446">
        <f>IFERROR(VLOOKUP($G27,波及効果シート!$A$4:$Z$45,7,FALSE),0)</f>
        <v>0</v>
      </c>
      <c r="N27" s="446">
        <f>IFERROR(VLOOKUP($G27,波及効果シート!$A$4:$Z$45,8,FALSE),0)</f>
        <v>0</v>
      </c>
      <c r="O27" s="446">
        <f>IFERROR(VLOOKUP($G27,波及効果シート!$A$4:$Z$45,9,FALSE),0)</f>
        <v>0</v>
      </c>
      <c r="P27" s="446">
        <f>IFERROR(VLOOKUP($G27,#REF!,13,FALSE),0)</f>
        <v>0</v>
      </c>
      <c r="Q27" s="446">
        <f>IFERROR(VLOOKUP($G27,#REF!,14,FALSE),0)</f>
        <v>0</v>
      </c>
      <c r="R27" s="592"/>
    </row>
    <row r="28" spans="1:18" x14ac:dyDescent="0.2">
      <c r="A28" s="425"/>
      <c r="B28" s="440"/>
      <c r="C28" s="440"/>
      <c r="D28" s="475"/>
      <c r="E28" s="440"/>
      <c r="F28" s="602">
        <f>1-SUM(F25:F27)</f>
        <v>1</v>
      </c>
      <c r="G28" s="603" t="s">
        <v>243</v>
      </c>
      <c r="H28" s="448"/>
      <c r="I28" s="448"/>
      <c r="J28" s="448"/>
      <c r="K28" s="448"/>
      <c r="L28" s="448"/>
      <c r="M28" s="448"/>
      <c r="N28" s="448"/>
      <c r="O28" s="448"/>
      <c r="P28" s="448"/>
      <c r="Q28" s="448"/>
      <c r="R28" s="592"/>
    </row>
    <row r="29" spans="1:18" x14ac:dyDescent="0.2">
      <c r="A29" s="425"/>
      <c r="B29" s="440" t="str">
        <f>インプット!B91</f>
        <v>＜設備費目を入力＞</v>
      </c>
      <c r="C29" s="440"/>
      <c r="D29" s="470">
        <f>インプット!E88</f>
        <v>0</v>
      </c>
      <c r="E29" s="437" t="s">
        <v>371</v>
      </c>
      <c r="F29" s="563">
        <f>インプット!$F$88</f>
        <v>0</v>
      </c>
      <c r="G29" s="564">
        <f>インプット!$G$88</f>
        <v>0</v>
      </c>
      <c r="H29" s="446">
        <f>IFERROR(VLOOKUP($G29,波及効果シート!$A$4:$Z$45,2,FALSE),0)</f>
        <v>0</v>
      </c>
      <c r="I29" s="446">
        <f>IFERROR(VLOOKUP($G29,波及効果シート!$A$4:$Z$45,3,FALSE),0)</f>
        <v>0</v>
      </c>
      <c r="J29" s="446">
        <f>IFERROR(VLOOKUP($G29,波及効果シート!$A$4:$Z$45,4,FALSE),0)</f>
        <v>0</v>
      </c>
      <c r="K29" s="446">
        <f>IFERROR(VLOOKUP($G29,波及効果シート!$A$4:$Z$45,5,FALSE),0)</f>
        <v>0</v>
      </c>
      <c r="L29" s="446">
        <f>IFERROR(VLOOKUP($G29,波及効果シート!$A$4:$Z$45,6,FALSE),0)</f>
        <v>0</v>
      </c>
      <c r="M29" s="446">
        <f>IFERROR(VLOOKUP($G29,波及効果シート!$A$4:$Z$45,7,FALSE),0)</f>
        <v>0</v>
      </c>
      <c r="N29" s="446">
        <f>IFERROR(VLOOKUP($G29,波及効果シート!$A$4:$Z$45,8,FALSE),0)</f>
        <v>0</v>
      </c>
      <c r="O29" s="446">
        <f>IFERROR(VLOOKUP($G29,波及効果シート!$A$4:$Z$45,9,FALSE),0)</f>
        <v>0</v>
      </c>
      <c r="P29" s="446">
        <f>IFERROR(VLOOKUP($G29,#REF!,13,FALSE),0)</f>
        <v>0</v>
      </c>
      <c r="Q29" s="446">
        <f>IFERROR(VLOOKUP($G29,#REF!,14,FALSE),0)</f>
        <v>0</v>
      </c>
      <c r="R29" s="592"/>
    </row>
    <row r="30" spans="1:18" x14ac:dyDescent="0.2">
      <c r="A30" s="425"/>
      <c r="B30" s="420"/>
      <c r="C30" s="420"/>
      <c r="D30" s="568"/>
      <c r="E30" s="424"/>
      <c r="F30" s="565">
        <f>インプット!$H$88</f>
        <v>0</v>
      </c>
      <c r="G30" s="564">
        <f>インプット!$I$88</f>
        <v>0</v>
      </c>
      <c r="H30" s="446">
        <f>IFERROR(VLOOKUP($G30,波及効果シート!$A$4:$Z$45,2,FALSE),0)</f>
        <v>0</v>
      </c>
      <c r="I30" s="446">
        <f>IFERROR(VLOOKUP($G30,波及効果シート!$A$4:$Z$45,3,FALSE),0)</f>
        <v>0</v>
      </c>
      <c r="J30" s="446">
        <f>IFERROR(VLOOKUP($G30,波及効果シート!$A$4:$Z$45,4,FALSE),0)</f>
        <v>0</v>
      </c>
      <c r="K30" s="446">
        <f>IFERROR(VLOOKUP($G30,波及効果シート!$A$4:$Z$45,5,FALSE),0)</f>
        <v>0</v>
      </c>
      <c r="L30" s="446">
        <f>IFERROR(VLOOKUP($G30,波及効果シート!$A$4:$Z$45,6,FALSE),0)</f>
        <v>0</v>
      </c>
      <c r="M30" s="446">
        <f>IFERROR(VLOOKUP($G30,波及効果シート!$A$4:$Z$45,7,FALSE),0)</f>
        <v>0</v>
      </c>
      <c r="N30" s="446">
        <f>IFERROR(VLOOKUP($G30,波及効果シート!$A$4:$Z$45,8,FALSE),0)</f>
        <v>0</v>
      </c>
      <c r="O30" s="446">
        <f>IFERROR(VLOOKUP($G30,波及効果シート!$A$4:$Z$45,9,FALSE),0)</f>
        <v>0</v>
      </c>
      <c r="P30" s="446">
        <f>IFERROR(VLOOKUP($G30,#REF!,13,FALSE),0)</f>
        <v>0</v>
      </c>
      <c r="Q30" s="446">
        <f>IFERROR(VLOOKUP($G30,#REF!,14,FALSE),0)</f>
        <v>0</v>
      </c>
      <c r="R30" s="592"/>
    </row>
    <row r="31" spans="1:18" x14ac:dyDescent="0.2">
      <c r="A31" s="425"/>
      <c r="B31" s="420"/>
      <c r="C31" s="420"/>
      <c r="D31" s="468"/>
      <c r="E31" s="420"/>
      <c r="F31" s="565">
        <f>インプット!$J$88</f>
        <v>0</v>
      </c>
      <c r="G31" s="564">
        <f>インプット!$K$88</f>
        <v>0</v>
      </c>
      <c r="H31" s="446">
        <f>IFERROR(VLOOKUP($G31,波及効果シート!$A$4:$Z$45,2,FALSE),0)</f>
        <v>0</v>
      </c>
      <c r="I31" s="446">
        <f>IFERROR(VLOOKUP($G31,波及効果シート!$A$4:$Z$45,3,FALSE),0)</f>
        <v>0</v>
      </c>
      <c r="J31" s="446">
        <f>IFERROR(VLOOKUP($G31,波及効果シート!$A$4:$Z$45,4,FALSE),0)</f>
        <v>0</v>
      </c>
      <c r="K31" s="446">
        <f>IFERROR(VLOOKUP($G31,波及効果シート!$A$4:$Z$45,5,FALSE),0)</f>
        <v>0</v>
      </c>
      <c r="L31" s="446">
        <f>IFERROR(VLOOKUP($G31,波及効果シート!$A$4:$Z$45,6,FALSE),0)</f>
        <v>0</v>
      </c>
      <c r="M31" s="446">
        <f>IFERROR(VLOOKUP($G31,波及効果シート!$A$4:$Z$45,7,FALSE),0)</f>
        <v>0</v>
      </c>
      <c r="N31" s="446">
        <f>IFERROR(VLOOKUP($G31,波及効果シート!$A$4:$Z$45,8,FALSE),0)</f>
        <v>0</v>
      </c>
      <c r="O31" s="446">
        <f>IFERROR(VLOOKUP($G31,波及効果シート!$A$4:$Z$45,9,FALSE),0)</f>
        <v>0</v>
      </c>
      <c r="P31" s="446">
        <f>IFERROR(VLOOKUP($G31,#REF!,13,FALSE),0)</f>
        <v>0</v>
      </c>
      <c r="Q31" s="446">
        <f>IFERROR(VLOOKUP($G31,#REF!,14,FALSE),0)</f>
        <v>0</v>
      </c>
      <c r="R31" s="592"/>
    </row>
    <row r="32" spans="1:18" x14ac:dyDescent="0.2">
      <c r="A32" s="425"/>
      <c r="B32" s="440"/>
      <c r="C32" s="440"/>
      <c r="D32" s="475"/>
      <c r="E32" s="440"/>
      <c r="F32" s="602">
        <f>1-SUM(F29:F31)</f>
        <v>1</v>
      </c>
      <c r="G32" s="603" t="s">
        <v>243</v>
      </c>
      <c r="H32" s="448"/>
      <c r="I32" s="448"/>
      <c r="J32" s="448"/>
      <c r="K32" s="448"/>
      <c r="L32" s="448"/>
      <c r="M32" s="448"/>
      <c r="N32" s="448"/>
      <c r="O32" s="448"/>
      <c r="P32" s="448"/>
      <c r="Q32" s="448"/>
      <c r="R32" s="592"/>
    </row>
    <row r="33" spans="1:18" x14ac:dyDescent="0.2">
      <c r="A33" s="425"/>
      <c r="B33" s="440" t="str">
        <f>インプット!B91</f>
        <v>＜設備費目を入力＞</v>
      </c>
      <c r="C33" s="440"/>
      <c r="D33" s="470">
        <f>インプット!E91</f>
        <v>0</v>
      </c>
      <c r="E33" s="437" t="s">
        <v>371</v>
      </c>
      <c r="F33" s="563">
        <f>インプット!$F$91</f>
        <v>0</v>
      </c>
      <c r="G33" s="564">
        <f>インプット!$G$91</f>
        <v>0</v>
      </c>
      <c r="H33" s="446">
        <f>IFERROR(VLOOKUP($G33,波及効果シート!$A$4:$Z$45,2,FALSE),0)</f>
        <v>0</v>
      </c>
      <c r="I33" s="446">
        <f>IFERROR(VLOOKUP($G33,波及効果シート!$A$4:$Z$45,3,FALSE),0)</f>
        <v>0</v>
      </c>
      <c r="J33" s="446">
        <f>IFERROR(VLOOKUP($G33,波及効果シート!$A$4:$Z$45,4,FALSE),0)</f>
        <v>0</v>
      </c>
      <c r="K33" s="446">
        <f>IFERROR(VLOOKUP($G33,波及効果シート!$A$4:$Z$45,5,FALSE),0)</f>
        <v>0</v>
      </c>
      <c r="L33" s="446">
        <f>IFERROR(VLOOKUP($G33,波及効果シート!$A$4:$Z$45,6,FALSE),0)</f>
        <v>0</v>
      </c>
      <c r="M33" s="446">
        <f>IFERROR(VLOOKUP($G33,波及効果シート!$A$4:$Z$45,7,FALSE),0)</f>
        <v>0</v>
      </c>
      <c r="N33" s="446">
        <f>IFERROR(VLOOKUP($G33,波及効果シート!$A$4:$Z$45,8,FALSE),0)</f>
        <v>0</v>
      </c>
      <c r="O33" s="446">
        <f>IFERROR(VLOOKUP($G33,波及効果シート!$A$4:$Z$45,9,FALSE),0)</f>
        <v>0</v>
      </c>
      <c r="P33" s="446">
        <f>IFERROR(VLOOKUP($G33,#REF!,13,FALSE),0)</f>
        <v>0</v>
      </c>
      <c r="Q33" s="446">
        <f>IFERROR(VLOOKUP($G33,#REF!,14,FALSE),0)</f>
        <v>0</v>
      </c>
      <c r="R33" s="592"/>
    </row>
    <row r="34" spans="1:18" x14ac:dyDescent="0.2">
      <c r="A34" s="425"/>
      <c r="B34" s="420"/>
      <c r="C34" s="420"/>
      <c r="D34" s="568"/>
      <c r="E34" s="424"/>
      <c r="F34" s="565">
        <f>インプット!$H$91</f>
        <v>0</v>
      </c>
      <c r="G34" s="564">
        <f>インプット!$I$91</f>
        <v>0</v>
      </c>
      <c r="H34" s="446">
        <f>IFERROR(VLOOKUP($G34,波及効果シート!$A$4:$Z$45,2,FALSE),0)</f>
        <v>0</v>
      </c>
      <c r="I34" s="446">
        <f>IFERROR(VLOOKUP($G34,波及効果シート!$A$4:$Z$45,3,FALSE),0)</f>
        <v>0</v>
      </c>
      <c r="J34" s="446">
        <f>IFERROR(VLOOKUP($G34,波及効果シート!$A$4:$Z$45,4,FALSE),0)</f>
        <v>0</v>
      </c>
      <c r="K34" s="446">
        <f>IFERROR(VLOOKUP($G34,波及効果シート!$A$4:$Z$45,5,FALSE),0)</f>
        <v>0</v>
      </c>
      <c r="L34" s="446">
        <f>IFERROR(VLOOKUP($G34,波及効果シート!$A$4:$Z$45,6,FALSE),0)</f>
        <v>0</v>
      </c>
      <c r="M34" s="446">
        <f>IFERROR(VLOOKUP($G34,波及効果シート!$A$4:$Z$45,7,FALSE),0)</f>
        <v>0</v>
      </c>
      <c r="N34" s="446">
        <f>IFERROR(VLOOKUP($G34,波及効果シート!$A$4:$Z$45,8,FALSE),0)</f>
        <v>0</v>
      </c>
      <c r="O34" s="446">
        <f>IFERROR(VLOOKUP($G34,波及効果シート!$A$4:$Z$45,9,FALSE),0)</f>
        <v>0</v>
      </c>
      <c r="P34" s="446">
        <f>IFERROR(VLOOKUP($G34,#REF!,13,FALSE),0)</f>
        <v>0</v>
      </c>
      <c r="Q34" s="446">
        <f>IFERROR(VLOOKUP($G34,#REF!,14,FALSE),0)</f>
        <v>0</v>
      </c>
      <c r="R34" s="592"/>
    </row>
    <row r="35" spans="1:18" x14ac:dyDescent="0.2">
      <c r="A35" s="425"/>
      <c r="B35" s="420"/>
      <c r="C35" s="420"/>
      <c r="D35" s="468"/>
      <c r="E35" s="420"/>
      <c r="F35" s="565">
        <f>インプット!$J$91</f>
        <v>0</v>
      </c>
      <c r="G35" s="564">
        <f>インプット!$K$91</f>
        <v>0</v>
      </c>
      <c r="H35" s="446">
        <f>IFERROR(VLOOKUP($G35,波及効果シート!$A$4:$Z$45,2,FALSE),0)</f>
        <v>0</v>
      </c>
      <c r="I35" s="446">
        <f>IFERROR(VLOOKUP($G35,波及効果シート!$A$4:$Z$45,3,FALSE),0)</f>
        <v>0</v>
      </c>
      <c r="J35" s="446">
        <f>IFERROR(VLOOKUP($G35,波及効果シート!$A$4:$Z$45,4,FALSE),0)</f>
        <v>0</v>
      </c>
      <c r="K35" s="446">
        <f>IFERROR(VLOOKUP($G35,波及効果シート!$A$4:$Z$45,5,FALSE),0)</f>
        <v>0</v>
      </c>
      <c r="L35" s="446">
        <f>IFERROR(VLOOKUP($G35,波及効果シート!$A$4:$Z$45,6,FALSE),0)</f>
        <v>0</v>
      </c>
      <c r="M35" s="446">
        <f>IFERROR(VLOOKUP($G35,波及効果シート!$A$4:$Z$45,7,FALSE),0)</f>
        <v>0</v>
      </c>
      <c r="N35" s="446">
        <f>IFERROR(VLOOKUP($G35,波及効果シート!$A$4:$Z$45,8,FALSE),0)</f>
        <v>0</v>
      </c>
      <c r="O35" s="446">
        <f>IFERROR(VLOOKUP($G35,波及効果シート!$A$4:$Z$45,9,FALSE),0)</f>
        <v>0</v>
      </c>
      <c r="P35" s="446">
        <f>IFERROR(VLOOKUP($G35,#REF!,13,FALSE),0)</f>
        <v>0</v>
      </c>
      <c r="Q35" s="446">
        <f>IFERROR(VLOOKUP($G35,#REF!,14,FALSE),0)</f>
        <v>0</v>
      </c>
      <c r="R35" s="592"/>
    </row>
    <row r="36" spans="1:18" x14ac:dyDescent="0.2">
      <c r="A36" s="425"/>
      <c r="B36" s="440"/>
      <c r="C36" s="440"/>
      <c r="D36" s="475"/>
      <c r="E36" s="440"/>
      <c r="F36" s="602">
        <f>1-SUM(F33:F35)</f>
        <v>1</v>
      </c>
      <c r="G36" s="603" t="s">
        <v>243</v>
      </c>
      <c r="H36" s="448"/>
      <c r="I36" s="448"/>
      <c r="J36" s="448"/>
      <c r="K36" s="448"/>
      <c r="L36" s="448"/>
      <c r="M36" s="448"/>
      <c r="N36" s="448"/>
      <c r="O36" s="448"/>
      <c r="P36" s="448"/>
      <c r="Q36" s="448"/>
      <c r="R36" s="592"/>
    </row>
    <row r="37" spans="1:18" x14ac:dyDescent="0.2">
      <c r="A37" s="427" t="s">
        <v>291</v>
      </c>
      <c r="B37" s="440" t="s">
        <v>208</v>
      </c>
      <c r="C37" s="440"/>
      <c r="D37" s="470">
        <f>計算シート!AI214/20</f>
        <v>-231000000</v>
      </c>
      <c r="E37" s="440" t="s">
        <v>245</v>
      </c>
      <c r="F37" s="563">
        <f>インプット!$F$73</f>
        <v>0.25</v>
      </c>
      <c r="G37" s="564" t="str">
        <f>インプット!$G$73</f>
        <v>はん用機械器具製造業</v>
      </c>
      <c r="H37" s="446">
        <f>IFERROR(VLOOKUP($G37,波及効果シート!$A$4:$Z$45,2,FALSE),0)</f>
        <v>0.12035066439076711</v>
      </c>
      <c r="I37" s="446">
        <f>IFERROR(VLOOKUP($G37,波及効果シート!$A$4:$Z$45,3,FALSE),0)</f>
        <v>5.17034457439845E-2</v>
      </c>
      <c r="J37" s="446">
        <f>IFERROR(VLOOKUP($G37,波及効果シート!$A$4:$Z$45,4,FALSE),0)</f>
        <v>1.7402412098426419E-2</v>
      </c>
      <c r="K37" s="446">
        <f>IFERROR(VLOOKUP($G37,波及効果シート!$A$4:$Z$45,5,FALSE),0)</f>
        <v>7.8856553473945334E-3</v>
      </c>
      <c r="L37" s="446">
        <f>IFERROR(VLOOKUP($G37,波及効果シート!$A$4:$Z$45,6,FALSE),0)</f>
        <v>6.9107282430702549E-2</v>
      </c>
      <c r="M37" s="446">
        <f>IFERROR(VLOOKUP($G37,波及効果シート!$A$4:$Z$45,7,FALSE),0)</f>
        <v>6.5758508258294962E-2</v>
      </c>
      <c r="N37" s="446">
        <f>IFERROR(VLOOKUP($G37,波及効果シート!$A$4:$Z$45,8,FALSE),0)</f>
        <v>1.4754532814500761E-2</v>
      </c>
      <c r="O37" s="446">
        <f>IFERROR(VLOOKUP($G37,波及効果シート!$A$4:$Z$45,9,FALSE),0)</f>
        <v>5.0814239267871235E-3</v>
      </c>
      <c r="P37" s="446">
        <f>IFERROR(VLOOKUP($G37,#REF!,13,FALSE),0)</f>
        <v>0</v>
      </c>
      <c r="Q37" s="446">
        <f>IFERROR(VLOOKUP($G37,#REF!,14,FALSE),0)</f>
        <v>0</v>
      </c>
      <c r="R37" s="592"/>
    </row>
    <row r="38" spans="1:18" x14ac:dyDescent="0.2">
      <c r="A38" s="427"/>
      <c r="B38" s="420"/>
      <c r="C38" s="420"/>
      <c r="D38" s="568"/>
      <c r="E38" s="424"/>
      <c r="F38" s="565">
        <f>インプット!$H$73</f>
        <v>0</v>
      </c>
      <c r="G38" s="564">
        <f>インプット!$I$73</f>
        <v>0</v>
      </c>
      <c r="H38" s="446">
        <f>IFERROR(VLOOKUP($G38,波及効果シート!$A$4:$Z$45,2,FALSE),0)</f>
        <v>0</v>
      </c>
      <c r="I38" s="446">
        <f>IFERROR(VLOOKUP($G38,波及効果シート!$A$4:$Z$45,3,FALSE),0)</f>
        <v>0</v>
      </c>
      <c r="J38" s="446">
        <f>IFERROR(VLOOKUP($G38,波及効果シート!$A$4:$Z$45,4,FALSE),0)</f>
        <v>0</v>
      </c>
      <c r="K38" s="446">
        <f>IFERROR(VLOOKUP($G38,波及効果シート!$A$4:$Z$45,5,FALSE),0)</f>
        <v>0</v>
      </c>
      <c r="L38" s="446">
        <f>IFERROR(VLOOKUP($G38,波及効果シート!$A$4:$Z$45,6,FALSE),0)</f>
        <v>0</v>
      </c>
      <c r="M38" s="446">
        <f>IFERROR(VLOOKUP($G38,波及効果シート!$A$4:$Z$45,7,FALSE),0)</f>
        <v>0</v>
      </c>
      <c r="N38" s="446">
        <f>IFERROR(VLOOKUP($G38,波及効果シート!$A$4:$Z$45,8,FALSE),0)</f>
        <v>0</v>
      </c>
      <c r="O38" s="446">
        <f>IFERROR(VLOOKUP($G38,波及効果シート!$A$4:$Z$45,9,FALSE),0)</f>
        <v>0</v>
      </c>
      <c r="P38" s="446">
        <f>IFERROR(VLOOKUP($G38,#REF!,13,FALSE),0)</f>
        <v>0</v>
      </c>
      <c r="Q38" s="446">
        <f>IFERROR(VLOOKUP($G38,#REF!,14,FALSE),0)</f>
        <v>0</v>
      </c>
      <c r="R38" s="592"/>
    </row>
    <row r="39" spans="1:18" x14ac:dyDescent="0.2">
      <c r="A39" s="427"/>
      <c r="B39" s="455"/>
      <c r="C39" s="420"/>
      <c r="D39" s="468"/>
      <c r="E39" s="420"/>
      <c r="F39" s="565">
        <f>インプット!$J$73</f>
        <v>0</v>
      </c>
      <c r="G39" s="564">
        <f>インプット!$K$73</f>
        <v>0</v>
      </c>
      <c r="H39" s="446">
        <f>IFERROR(VLOOKUP($G39,波及効果シート!$A$4:$Z$45,2,FALSE),0)</f>
        <v>0</v>
      </c>
      <c r="I39" s="446">
        <f>IFERROR(VLOOKUP($G39,波及効果シート!$A$4:$Z$45,3,FALSE),0)</f>
        <v>0</v>
      </c>
      <c r="J39" s="446">
        <f>IFERROR(VLOOKUP($G39,波及効果シート!$A$4:$Z$45,4,FALSE),0)</f>
        <v>0</v>
      </c>
      <c r="K39" s="446">
        <f>IFERROR(VLOOKUP($G39,波及効果シート!$A$4:$Z$45,5,FALSE),0)</f>
        <v>0</v>
      </c>
      <c r="L39" s="446">
        <f>IFERROR(VLOOKUP($G39,波及効果シート!$A$4:$Z$45,6,FALSE),0)</f>
        <v>0</v>
      </c>
      <c r="M39" s="446">
        <f>IFERROR(VLOOKUP($G39,波及効果シート!$A$4:$Z$45,7,FALSE),0)</f>
        <v>0</v>
      </c>
      <c r="N39" s="446">
        <f>IFERROR(VLOOKUP($G39,波及効果シート!$A$4:$Z$45,8,FALSE),0)</f>
        <v>0</v>
      </c>
      <c r="O39" s="446">
        <f>IFERROR(VLOOKUP($G39,波及効果シート!$A$4:$Z$45,9,FALSE),0)</f>
        <v>0</v>
      </c>
      <c r="P39" s="446">
        <f>IFERROR(VLOOKUP($G39,#REF!,13,FALSE),0)</f>
        <v>0</v>
      </c>
      <c r="Q39" s="446">
        <f>IFERROR(VLOOKUP($G39,#REF!,14,FALSE),0)</f>
        <v>0</v>
      </c>
      <c r="R39" s="592"/>
    </row>
    <row r="40" spans="1:18" x14ac:dyDescent="0.2">
      <c r="A40" s="427"/>
      <c r="B40" s="440"/>
      <c r="C40" s="440"/>
      <c r="D40" s="475"/>
      <c r="E40" s="440"/>
      <c r="F40" s="602">
        <f>1-SUM(F37:F39)</f>
        <v>0.75</v>
      </c>
      <c r="G40" s="603" t="s">
        <v>243</v>
      </c>
      <c r="H40" s="448"/>
      <c r="I40" s="448"/>
      <c r="J40" s="448"/>
      <c r="K40" s="448"/>
      <c r="L40" s="448"/>
      <c r="M40" s="448"/>
      <c r="N40" s="448"/>
      <c r="O40" s="448"/>
      <c r="P40" s="448"/>
      <c r="Q40" s="448"/>
      <c r="R40" s="592"/>
    </row>
    <row r="41" spans="1:18" x14ac:dyDescent="0.2">
      <c r="A41" s="427"/>
      <c r="B41" s="440" t="str">
        <f>インプット!B59</f>
        <v>薬剤・消耗品費用</v>
      </c>
      <c r="C41" s="440"/>
      <c r="D41" s="470">
        <f>インプット!E59</f>
        <v>57525830.544324234</v>
      </c>
      <c r="E41" s="440" t="s">
        <v>245</v>
      </c>
      <c r="F41" s="563">
        <f>インプット!$F$59</f>
        <v>0.5</v>
      </c>
      <c r="G41" s="564" t="str">
        <f>インプット!$G$59</f>
        <v>化学工業</v>
      </c>
      <c r="H41" s="446">
        <f>IFERROR(VLOOKUP($G41,波及効果シート!$A$4:$Z$45,2,FALSE),0)</f>
        <v>7.1219860032181365E-2</v>
      </c>
      <c r="I41" s="446">
        <f>IFERROR(VLOOKUP($G41,波及効果シート!$A$4:$Z$45,3,FALSE),0)</f>
        <v>7.103215965357032E-2</v>
      </c>
      <c r="J41" s="446">
        <f>IFERROR(VLOOKUP($G41,波及効果シート!$A$4:$Z$45,4,FALSE),0)</f>
        <v>1.5636401575527887E-2</v>
      </c>
      <c r="K41" s="446">
        <f>IFERROR(VLOOKUP($G41,波及効果シート!$A$4:$Z$45,5,FALSE),0)</f>
        <v>5.286826193974907E-3</v>
      </c>
      <c r="L41" s="446">
        <f>IFERROR(VLOOKUP($G41,波及効果シート!$A$4:$Z$45,6,FALSE),0)</f>
        <v>7.9312124173755702E-2</v>
      </c>
      <c r="M41" s="446">
        <f>IFERROR(VLOOKUP($G41,波及効果シート!$A$4:$Z$45,7,FALSE),0)</f>
        <v>6.6999324163332971E-2</v>
      </c>
      <c r="N41" s="446">
        <f>IFERROR(VLOOKUP($G41,波及効果シート!$A$4:$Z$45,8,FALSE),0)</f>
        <v>1.5815165879107633E-2</v>
      </c>
      <c r="O41" s="446">
        <f>IFERROR(VLOOKUP($G41,波及効果シート!$A$4:$Z$45,9,FALSE),0)</f>
        <v>5.7018472984805089E-3</v>
      </c>
      <c r="P41" s="446">
        <f>IFERROR(VLOOKUP($G41,#REF!,13,FALSE),0)</f>
        <v>0</v>
      </c>
      <c r="Q41" s="446">
        <f>IFERROR(VLOOKUP($G41,#REF!,14,FALSE),0)</f>
        <v>0</v>
      </c>
      <c r="R41" s="592"/>
    </row>
    <row r="42" spans="1:18" x14ac:dyDescent="0.2">
      <c r="A42" s="427"/>
      <c r="B42" s="420"/>
      <c r="C42" s="420"/>
      <c r="D42" s="568"/>
      <c r="E42" s="420"/>
      <c r="F42" s="565">
        <f>インプット!$H$59</f>
        <v>0</v>
      </c>
      <c r="G42" s="564">
        <f>インプット!$I$59</f>
        <v>0</v>
      </c>
      <c r="H42" s="446">
        <f>IFERROR(VLOOKUP($G42,波及効果シート!$A$4:$Z$45,2,FALSE),0)</f>
        <v>0</v>
      </c>
      <c r="I42" s="446">
        <f>IFERROR(VLOOKUP($G42,波及効果シート!$A$4:$Z$45,3,FALSE),0)</f>
        <v>0</v>
      </c>
      <c r="J42" s="446">
        <f>IFERROR(VLOOKUP($G42,波及効果シート!$A$4:$Z$45,4,FALSE),0)</f>
        <v>0</v>
      </c>
      <c r="K42" s="446">
        <f>IFERROR(VLOOKUP($G42,波及効果シート!$A$4:$Z$45,5,FALSE),0)</f>
        <v>0</v>
      </c>
      <c r="L42" s="446">
        <f>IFERROR(VLOOKUP($G42,波及効果シート!$A$4:$Z$45,6,FALSE),0)</f>
        <v>0</v>
      </c>
      <c r="M42" s="446">
        <f>IFERROR(VLOOKUP($G42,波及効果シート!$A$4:$Z$45,7,FALSE),0)</f>
        <v>0</v>
      </c>
      <c r="N42" s="446">
        <f>IFERROR(VLOOKUP($G42,波及効果シート!$A$4:$Z$45,8,FALSE),0)</f>
        <v>0</v>
      </c>
      <c r="O42" s="446">
        <f>IFERROR(VLOOKUP($G42,波及効果シート!$A$4:$Z$45,9,FALSE),0)</f>
        <v>0</v>
      </c>
      <c r="P42" s="446">
        <f>IFERROR(VLOOKUP($G42,#REF!,13,FALSE),0)</f>
        <v>0</v>
      </c>
      <c r="Q42" s="446">
        <f>IFERROR(VLOOKUP($G42,#REF!,14,FALSE),0)</f>
        <v>0</v>
      </c>
      <c r="R42" s="592"/>
    </row>
    <row r="43" spans="1:18" x14ac:dyDescent="0.2">
      <c r="A43" s="427"/>
      <c r="B43" s="455"/>
      <c r="C43" s="420"/>
      <c r="D43" s="468"/>
      <c r="E43" s="420"/>
      <c r="F43" s="565">
        <f>インプット!$J$59</f>
        <v>0</v>
      </c>
      <c r="G43" s="564">
        <f>インプット!$K$59</f>
        <v>0</v>
      </c>
      <c r="H43" s="446">
        <f>IFERROR(VLOOKUP($G43,波及効果シート!$A$4:$Z$45,2,FALSE),0)</f>
        <v>0</v>
      </c>
      <c r="I43" s="446">
        <f>IFERROR(VLOOKUP($G43,波及効果シート!$A$4:$Z$45,3,FALSE),0)</f>
        <v>0</v>
      </c>
      <c r="J43" s="446">
        <f>IFERROR(VLOOKUP($G43,波及効果シート!$A$4:$Z$45,4,FALSE),0)</f>
        <v>0</v>
      </c>
      <c r="K43" s="446">
        <f>IFERROR(VLOOKUP($G43,波及効果シート!$A$4:$Z$45,5,FALSE),0)</f>
        <v>0</v>
      </c>
      <c r="L43" s="446">
        <f>IFERROR(VLOOKUP($G43,波及効果シート!$A$4:$Z$45,6,FALSE),0)</f>
        <v>0</v>
      </c>
      <c r="M43" s="446">
        <f>IFERROR(VLOOKUP($G43,波及効果シート!$A$4:$Z$45,7,FALSE),0)</f>
        <v>0</v>
      </c>
      <c r="N43" s="446">
        <f>IFERROR(VLOOKUP($G43,波及効果シート!$A$4:$Z$45,8,FALSE),0)</f>
        <v>0</v>
      </c>
      <c r="O43" s="446">
        <f>IFERROR(VLOOKUP($G43,波及効果シート!$A$4:$Z$45,9,FALSE),0)</f>
        <v>0</v>
      </c>
      <c r="P43" s="446">
        <f>IFERROR(VLOOKUP($G43,#REF!,13,FALSE),0)</f>
        <v>0</v>
      </c>
      <c r="Q43" s="446">
        <f>IFERROR(VLOOKUP($G43,#REF!,14,FALSE),0)</f>
        <v>0</v>
      </c>
      <c r="R43" s="592"/>
    </row>
    <row r="44" spans="1:18" x14ac:dyDescent="0.2">
      <c r="A44" s="427"/>
      <c r="B44" s="440"/>
      <c r="C44" s="440"/>
      <c r="D44" s="475"/>
      <c r="E44" s="440"/>
      <c r="F44" s="602">
        <f>1-SUM(F41:F43)</f>
        <v>0.5</v>
      </c>
      <c r="G44" s="603" t="s">
        <v>243</v>
      </c>
      <c r="H44" s="448"/>
      <c r="I44" s="448"/>
      <c r="J44" s="448"/>
      <c r="K44" s="448"/>
      <c r="L44" s="448"/>
      <c r="M44" s="448"/>
      <c r="N44" s="448"/>
      <c r="O44" s="448"/>
      <c r="P44" s="448"/>
      <c r="Q44" s="448"/>
      <c r="R44" s="592"/>
    </row>
    <row r="45" spans="1:18" x14ac:dyDescent="0.2">
      <c r="A45" s="427"/>
      <c r="B45" s="440" t="str">
        <f>インプット!B60</f>
        <v>ユーティリティー費用</v>
      </c>
      <c r="C45" s="440"/>
      <c r="D45" s="470">
        <f>インプット!E60</f>
        <v>24653927.376138959</v>
      </c>
      <c r="E45" s="440" t="s">
        <v>245</v>
      </c>
      <c r="F45" s="563">
        <f>インプット!$F$60</f>
        <v>0.25</v>
      </c>
      <c r="G45" s="564" t="str">
        <f>インプット!$G$60</f>
        <v>電気業</v>
      </c>
      <c r="H45" s="446">
        <f>IFERROR(VLOOKUP($G45,波及効果シート!$A$4:$Z$45,2,FALSE),0)</f>
        <v>2.9334037090480925E-2</v>
      </c>
      <c r="I45" s="446">
        <f>IFERROR(VLOOKUP($G45,波及効果シート!$A$4:$Z$45,3,FALSE),0)</f>
        <v>2.7192008105341177E-2</v>
      </c>
      <c r="J45" s="446">
        <f>IFERROR(VLOOKUP($G45,波及効果シート!$A$4:$Z$45,4,FALSE),0)</f>
        <v>6.1677437043752021E-3</v>
      </c>
      <c r="K45" s="446">
        <f>IFERROR(VLOOKUP($G45,波及効果シート!$A$4:$Z$45,5,FALSE),0)</f>
        <v>2.1458625752479011E-3</v>
      </c>
      <c r="L45" s="446">
        <f>IFERROR(VLOOKUP($G45,波及効果シート!$A$4:$Z$45,6,FALSE),0)</f>
        <v>6.4387960049658147E-2</v>
      </c>
      <c r="M45" s="446">
        <f>IFERROR(VLOOKUP($G45,波及効果シート!$A$4:$Z$45,7,FALSE),0)</f>
        <v>5.2450384821748755E-2</v>
      </c>
      <c r="N45" s="446">
        <f>IFERROR(VLOOKUP($G45,波及効果シート!$A$4:$Z$45,8,FALSE),0)</f>
        <v>1.2582892008689818E-2</v>
      </c>
      <c r="O45" s="446">
        <f>IFERROR(VLOOKUP($G45,波及効果シート!$A$4:$Z$45,9,FALSE),0)</f>
        <v>4.5991427403660684E-3</v>
      </c>
      <c r="P45" s="446">
        <f>IFERROR(VLOOKUP($G45,#REF!,13,FALSE),0)</f>
        <v>0</v>
      </c>
      <c r="Q45" s="446">
        <f>IFERROR(VLOOKUP($G45,#REF!,14,FALSE),0)</f>
        <v>0</v>
      </c>
      <c r="R45" s="592"/>
    </row>
    <row r="46" spans="1:18" x14ac:dyDescent="0.2">
      <c r="A46" s="427"/>
      <c r="B46" s="420"/>
      <c r="C46" s="420"/>
      <c r="D46" s="568"/>
      <c r="E46" s="420"/>
      <c r="F46" s="565">
        <f>インプット!$H$60</f>
        <v>0</v>
      </c>
      <c r="G46" s="564" t="str">
        <f>インプット!$I$60</f>
        <v>ガス・熱供給・水道業</v>
      </c>
      <c r="H46" s="446">
        <f>IFERROR(VLOOKUP($G46,波及効果シート!$A$4:$Z$45,2,FALSE),0)</f>
        <v>4.3686477468694557E-2</v>
      </c>
      <c r="I46" s="446">
        <f>IFERROR(VLOOKUP($G46,波及効果シート!$A$4:$Z$45,3,FALSE),0)</f>
        <v>4.2719094513739245E-2</v>
      </c>
      <c r="J46" s="446">
        <f>IFERROR(VLOOKUP($G46,波及効果シート!$A$4:$Z$45,4,FALSE),0)</f>
        <v>9.4789050670088595E-3</v>
      </c>
      <c r="K46" s="446">
        <f>IFERROR(VLOOKUP($G46,波及効果シート!$A$4:$Z$45,5,FALSE),0)</f>
        <v>3.2298805911062066E-3</v>
      </c>
      <c r="L46" s="446">
        <f>IFERROR(VLOOKUP($G46,波及効果シート!$A$4:$Z$45,6,FALSE),0)</f>
        <v>0</v>
      </c>
      <c r="M46" s="446">
        <f>IFERROR(VLOOKUP($G46,波及効果シート!$A$4:$Z$45,7,FALSE),0)</f>
        <v>0</v>
      </c>
      <c r="N46" s="446">
        <f>IFERROR(VLOOKUP($G46,波及効果シート!$A$4:$Z$45,8,FALSE),0)</f>
        <v>0</v>
      </c>
      <c r="O46" s="446">
        <f>IFERROR(VLOOKUP($G46,波及効果シート!$A$4:$Z$45,9,FALSE),0)</f>
        <v>0</v>
      </c>
      <c r="P46" s="446">
        <f>IFERROR(VLOOKUP($G46,#REF!,13,FALSE),0)</f>
        <v>0</v>
      </c>
      <c r="Q46" s="446">
        <f>IFERROR(VLOOKUP($G46,#REF!,14,FALSE),0)</f>
        <v>0</v>
      </c>
      <c r="R46" s="592"/>
    </row>
    <row r="47" spans="1:18" x14ac:dyDescent="0.2">
      <c r="A47" s="427"/>
      <c r="B47" s="455"/>
      <c r="C47" s="420"/>
      <c r="D47" s="468"/>
      <c r="E47" s="420"/>
      <c r="F47" s="565">
        <f>インプット!$J$60</f>
        <v>0</v>
      </c>
      <c r="G47" s="564">
        <f>インプット!$K$60</f>
        <v>0</v>
      </c>
      <c r="H47" s="446">
        <f>IFERROR(VLOOKUP($G47,波及効果シート!$A$4:$Z$45,2,FALSE),0)</f>
        <v>0</v>
      </c>
      <c r="I47" s="446">
        <f>IFERROR(VLOOKUP($G47,波及効果シート!$A$4:$Z$45,3,FALSE),0)</f>
        <v>0</v>
      </c>
      <c r="J47" s="446">
        <f>IFERROR(VLOOKUP($G47,波及効果シート!$A$4:$Z$45,4,FALSE),0)</f>
        <v>0</v>
      </c>
      <c r="K47" s="446">
        <f>IFERROR(VLOOKUP($G47,波及効果シート!$A$4:$Z$45,5,FALSE),0)</f>
        <v>0</v>
      </c>
      <c r="L47" s="446">
        <f>IFERROR(VLOOKUP($G47,波及効果シート!$A$4:$Z$45,6,FALSE),0)</f>
        <v>0</v>
      </c>
      <c r="M47" s="446">
        <f>IFERROR(VLOOKUP($G47,波及効果シート!$A$4:$Z$45,7,FALSE),0)</f>
        <v>0</v>
      </c>
      <c r="N47" s="446">
        <f>IFERROR(VLOOKUP($G47,波及効果シート!$A$4:$Z$45,8,FALSE),0)</f>
        <v>0</v>
      </c>
      <c r="O47" s="446">
        <f>IFERROR(VLOOKUP($G47,波及効果シート!$A$4:$Z$45,9,FALSE),0)</f>
        <v>0</v>
      </c>
      <c r="P47" s="446">
        <f>IFERROR(VLOOKUP($G47,#REF!,13,FALSE),0)</f>
        <v>0</v>
      </c>
      <c r="Q47" s="446">
        <f>IFERROR(VLOOKUP($G47,#REF!,14,FALSE),0)</f>
        <v>0</v>
      </c>
      <c r="R47" s="592"/>
    </row>
    <row r="48" spans="1:18" x14ac:dyDescent="0.2">
      <c r="A48" s="427"/>
      <c r="B48" s="440"/>
      <c r="C48" s="440"/>
      <c r="D48" s="475"/>
      <c r="E48" s="440"/>
      <c r="F48" s="602">
        <f>1-SUM(F45:F47)</f>
        <v>0.75</v>
      </c>
      <c r="G48" s="603" t="s">
        <v>243</v>
      </c>
      <c r="H48" s="448"/>
      <c r="I48" s="448"/>
      <c r="J48" s="448"/>
      <c r="K48" s="448"/>
      <c r="L48" s="448"/>
      <c r="M48" s="448"/>
      <c r="N48" s="448"/>
      <c r="O48" s="448"/>
      <c r="P48" s="448"/>
      <c r="Q48" s="448"/>
      <c r="R48" s="592"/>
    </row>
    <row r="49" spans="1:18" x14ac:dyDescent="0.2">
      <c r="A49" s="427"/>
      <c r="B49" s="440" t="str">
        <f>インプット!B61</f>
        <v>＜その他・費目を入力＞</v>
      </c>
      <c r="C49" s="440"/>
      <c r="D49" s="470">
        <f>インプット!E61</f>
        <v>0</v>
      </c>
      <c r="E49" s="440" t="s">
        <v>245</v>
      </c>
      <c r="F49" s="563">
        <f>インプット!$F$61</f>
        <v>0</v>
      </c>
      <c r="G49" s="564">
        <f>インプット!$G$61</f>
        <v>0</v>
      </c>
      <c r="H49" s="446">
        <f>IFERROR(VLOOKUP($G49,波及効果シート!$A$4:$Z$45,2,FALSE),0)</f>
        <v>0</v>
      </c>
      <c r="I49" s="446">
        <f>IFERROR(VLOOKUP($G49,波及効果シート!$A$4:$Z$45,3,FALSE),0)</f>
        <v>0</v>
      </c>
      <c r="J49" s="446">
        <f>IFERROR(VLOOKUP($G49,波及効果シート!$A$4:$Z$45,4,FALSE),0)</f>
        <v>0</v>
      </c>
      <c r="K49" s="446">
        <f>IFERROR(VLOOKUP($G49,波及効果シート!$A$4:$Z$45,5,FALSE),0)</f>
        <v>0</v>
      </c>
      <c r="L49" s="446">
        <f>IFERROR(VLOOKUP($G49,波及効果シート!$A$4:$Z$45,6,FALSE),0)</f>
        <v>0</v>
      </c>
      <c r="M49" s="446">
        <f>IFERROR(VLOOKUP($G49,波及効果シート!$A$4:$Z$45,7,FALSE),0)</f>
        <v>0</v>
      </c>
      <c r="N49" s="446">
        <f>IFERROR(VLOOKUP($G49,波及効果シート!$A$4:$Z$45,8,FALSE),0)</f>
        <v>0</v>
      </c>
      <c r="O49" s="446">
        <f>IFERROR(VLOOKUP($G49,波及効果シート!$A$4:$Z$45,9,FALSE),0)</f>
        <v>0</v>
      </c>
      <c r="P49" s="446">
        <f>IFERROR(VLOOKUP($G49,#REF!,13,FALSE),0)</f>
        <v>0</v>
      </c>
      <c r="Q49" s="446">
        <f>IFERROR(VLOOKUP($G49,#REF!,14,FALSE),0)</f>
        <v>0</v>
      </c>
      <c r="R49" s="592"/>
    </row>
    <row r="50" spans="1:18" x14ac:dyDescent="0.2">
      <c r="A50" s="427"/>
      <c r="B50" s="420"/>
      <c r="C50" s="420"/>
      <c r="D50" s="568"/>
      <c r="E50" s="420"/>
      <c r="F50" s="565">
        <f>インプット!$H$61</f>
        <v>0</v>
      </c>
      <c r="G50" s="564">
        <f>インプット!$I$61</f>
        <v>0</v>
      </c>
      <c r="H50" s="446">
        <f>IFERROR(VLOOKUP($G50,波及効果シート!$A$4:$Z$45,2,FALSE),0)</f>
        <v>0</v>
      </c>
      <c r="I50" s="446">
        <f>IFERROR(VLOOKUP($G50,波及効果シート!$A$4:$Z$45,3,FALSE),0)</f>
        <v>0</v>
      </c>
      <c r="J50" s="446">
        <f>IFERROR(VLOOKUP($G50,波及効果シート!$A$4:$Z$45,4,FALSE),0)</f>
        <v>0</v>
      </c>
      <c r="K50" s="446">
        <f>IFERROR(VLOOKUP($G50,波及効果シート!$A$4:$Z$45,5,FALSE),0)</f>
        <v>0</v>
      </c>
      <c r="L50" s="446">
        <f>IFERROR(VLOOKUP($G50,波及効果シート!$A$4:$Z$45,6,FALSE),0)</f>
        <v>0</v>
      </c>
      <c r="M50" s="446">
        <f>IFERROR(VLOOKUP($G50,波及効果シート!$A$4:$Z$45,7,FALSE),0)</f>
        <v>0</v>
      </c>
      <c r="N50" s="446">
        <f>IFERROR(VLOOKUP($G50,波及効果シート!$A$4:$Z$45,8,FALSE),0)</f>
        <v>0</v>
      </c>
      <c r="O50" s="446">
        <f>IFERROR(VLOOKUP($G50,波及効果シート!$A$4:$Z$45,9,FALSE),0)</f>
        <v>0</v>
      </c>
      <c r="P50" s="446">
        <f>IFERROR(VLOOKUP($G50,#REF!,13,FALSE),0)</f>
        <v>0</v>
      </c>
      <c r="Q50" s="446">
        <f>IFERROR(VLOOKUP($G50,#REF!,14,FALSE),0)</f>
        <v>0</v>
      </c>
      <c r="R50" s="592"/>
    </row>
    <row r="51" spans="1:18" x14ac:dyDescent="0.2">
      <c r="A51" s="427"/>
      <c r="B51" s="455"/>
      <c r="C51" s="420"/>
      <c r="D51" s="468"/>
      <c r="E51" s="420"/>
      <c r="F51" s="565">
        <f>インプット!$J$61</f>
        <v>0</v>
      </c>
      <c r="G51" s="564">
        <f>インプット!$K$61</f>
        <v>0</v>
      </c>
      <c r="H51" s="446">
        <f>IFERROR(VLOOKUP($G51,波及効果シート!$A$4:$Z$45,2,FALSE),0)</f>
        <v>0</v>
      </c>
      <c r="I51" s="446">
        <f>IFERROR(VLOOKUP($G51,波及効果シート!$A$4:$Z$45,3,FALSE),0)</f>
        <v>0</v>
      </c>
      <c r="J51" s="446">
        <f>IFERROR(VLOOKUP($G51,波及効果シート!$A$4:$Z$45,4,FALSE),0)</f>
        <v>0</v>
      </c>
      <c r="K51" s="446">
        <f>IFERROR(VLOOKUP($G51,波及効果シート!$A$4:$Z$45,5,FALSE),0)</f>
        <v>0</v>
      </c>
      <c r="L51" s="446">
        <f>IFERROR(VLOOKUP($G51,波及効果シート!$A$4:$Z$45,6,FALSE),0)</f>
        <v>0</v>
      </c>
      <c r="M51" s="446">
        <f>IFERROR(VLOOKUP($G51,波及効果シート!$A$4:$Z$45,7,FALSE),0)</f>
        <v>0</v>
      </c>
      <c r="N51" s="446">
        <f>IFERROR(VLOOKUP($G51,波及効果シート!$A$4:$Z$45,8,FALSE),0)</f>
        <v>0</v>
      </c>
      <c r="O51" s="446">
        <f>IFERROR(VLOOKUP($G51,波及効果シート!$A$4:$Z$45,9,FALSE),0)</f>
        <v>0</v>
      </c>
      <c r="P51" s="446">
        <f>IFERROR(VLOOKUP($G51,#REF!,13,FALSE),0)</f>
        <v>0</v>
      </c>
      <c r="Q51" s="446">
        <f>IFERROR(VLOOKUP($G51,#REF!,14,FALSE),0)</f>
        <v>0</v>
      </c>
      <c r="R51" s="592"/>
    </row>
    <row r="52" spans="1:18" x14ac:dyDescent="0.2">
      <c r="A52" s="427"/>
      <c r="B52" s="440"/>
      <c r="C52" s="440"/>
      <c r="D52" s="475"/>
      <c r="E52" s="440"/>
      <c r="F52" s="602">
        <f>1-SUM(F49:F51)</f>
        <v>1</v>
      </c>
      <c r="G52" s="603" t="s">
        <v>243</v>
      </c>
      <c r="H52" s="448"/>
      <c r="I52" s="448"/>
      <c r="J52" s="448"/>
      <c r="K52" s="448"/>
      <c r="L52" s="448"/>
      <c r="M52" s="448"/>
      <c r="N52" s="448"/>
      <c r="O52" s="448"/>
      <c r="P52" s="448"/>
      <c r="Q52" s="448"/>
      <c r="R52" s="592"/>
    </row>
    <row r="53" spans="1:18" x14ac:dyDescent="0.2">
      <c r="A53" s="427"/>
      <c r="B53" s="440" t="str">
        <f>インプット!B62</f>
        <v>＜その他・費目を入力＞</v>
      </c>
      <c r="C53" s="440"/>
      <c r="D53" s="470">
        <f>インプット!E62</f>
        <v>0</v>
      </c>
      <c r="E53" s="440" t="s">
        <v>245</v>
      </c>
      <c r="F53" s="563">
        <f>インプット!$F$62</f>
        <v>0</v>
      </c>
      <c r="G53" s="564">
        <f>インプット!$G$62</f>
        <v>0</v>
      </c>
      <c r="H53" s="446">
        <f>IFERROR(VLOOKUP($G53,波及効果シート!$A$4:$Z$45,2,FALSE),0)</f>
        <v>0</v>
      </c>
      <c r="I53" s="446">
        <f>IFERROR(VLOOKUP($G53,波及効果シート!$A$4:$Z$45,3,FALSE),0)</f>
        <v>0</v>
      </c>
      <c r="J53" s="446">
        <f>IFERROR(VLOOKUP($G53,波及効果シート!$A$4:$Z$45,4,FALSE),0)</f>
        <v>0</v>
      </c>
      <c r="K53" s="446">
        <f>IFERROR(VLOOKUP($G53,波及効果シート!$A$4:$Z$45,5,FALSE),0)</f>
        <v>0</v>
      </c>
      <c r="L53" s="446">
        <f>IFERROR(VLOOKUP($G53,波及効果シート!$A$4:$Z$45,6,FALSE),0)</f>
        <v>0</v>
      </c>
      <c r="M53" s="446">
        <f>IFERROR(VLOOKUP($G53,波及効果シート!$A$4:$Z$45,7,FALSE),0)</f>
        <v>0</v>
      </c>
      <c r="N53" s="446">
        <f>IFERROR(VLOOKUP($G53,波及効果シート!$A$4:$Z$45,8,FALSE),0)</f>
        <v>0</v>
      </c>
      <c r="O53" s="446">
        <f>IFERROR(VLOOKUP($G53,波及効果シート!$A$4:$Z$45,9,FALSE),0)</f>
        <v>0</v>
      </c>
      <c r="P53" s="446">
        <f>IFERROR(VLOOKUP($G53,#REF!,13,FALSE),0)</f>
        <v>0</v>
      </c>
      <c r="Q53" s="446">
        <f>IFERROR(VLOOKUP($G53,#REF!,14,FALSE),0)</f>
        <v>0</v>
      </c>
      <c r="R53" s="592"/>
    </row>
    <row r="54" spans="1:18" x14ac:dyDescent="0.2">
      <c r="A54" s="427"/>
      <c r="B54" s="420"/>
      <c r="C54" s="420"/>
      <c r="D54" s="568"/>
      <c r="E54" s="420"/>
      <c r="F54" s="565">
        <f>インプット!$H$62</f>
        <v>0</v>
      </c>
      <c r="G54" s="564">
        <f>インプット!$I$62</f>
        <v>0</v>
      </c>
      <c r="H54" s="446">
        <f>IFERROR(VLOOKUP($G54,波及効果シート!$A$4:$Z$45,2,FALSE),0)</f>
        <v>0</v>
      </c>
      <c r="I54" s="446">
        <f>IFERROR(VLOOKUP($G54,波及効果シート!$A$4:$Z$45,3,FALSE),0)</f>
        <v>0</v>
      </c>
      <c r="J54" s="446">
        <f>IFERROR(VLOOKUP($G54,波及効果シート!$A$4:$Z$45,4,FALSE),0)</f>
        <v>0</v>
      </c>
      <c r="K54" s="446">
        <f>IFERROR(VLOOKUP($G54,波及効果シート!$A$4:$Z$45,5,FALSE),0)</f>
        <v>0</v>
      </c>
      <c r="L54" s="446">
        <f>IFERROR(VLOOKUP($G54,波及効果シート!$A$4:$Z$45,6,FALSE),0)</f>
        <v>0</v>
      </c>
      <c r="M54" s="446">
        <f>IFERROR(VLOOKUP($G54,波及効果シート!$A$4:$Z$45,7,FALSE),0)</f>
        <v>0</v>
      </c>
      <c r="N54" s="446">
        <f>IFERROR(VLOOKUP($G54,波及効果シート!$A$4:$Z$45,8,FALSE),0)</f>
        <v>0</v>
      </c>
      <c r="O54" s="446">
        <f>IFERROR(VLOOKUP($G54,波及効果シート!$A$4:$Z$45,9,FALSE),0)</f>
        <v>0</v>
      </c>
      <c r="P54" s="446">
        <f>IFERROR(VLOOKUP($G54,#REF!,13,FALSE),0)</f>
        <v>0</v>
      </c>
      <c r="Q54" s="446">
        <f>IFERROR(VLOOKUP($G54,#REF!,14,FALSE),0)</f>
        <v>0</v>
      </c>
      <c r="R54" s="592"/>
    </row>
    <row r="55" spans="1:18" x14ac:dyDescent="0.2">
      <c r="A55" s="427"/>
      <c r="B55" s="455"/>
      <c r="C55" s="420"/>
      <c r="D55" s="468"/>
      <c r="E55" s="420"/>
      <c r="F55" s="565">
        <f>インプット!$J$62</f>
        <v>0</v>
      </c>
      <c r="G55" s="564">
        <f>インプット!$K$62</f>
        <v>0</v>
      </c>
      <c r="H55" s="446">
        <f>IFERROR(VLOOKUP($G55,波及効果シート!$A$4:$Z$45,2,FALSE),0)</f>
        <v>0</v>
      </c>
      <c r="I55" s="446">
        <f>IFERROR(VLOOKUP($G55,波及効果シート!$A$4:$Z$45,3,FALSE),0)</f>
        <v>0</v>
      </c>
      <c r="J55" s="446">
        <f>IFERROR(VLOOKUP($G55,波及効果シート!$A$4:$Z$45,4,FALSE),0)</f>
        <v>0</v>
      </c>
      <c r="K55" s="446">
        <f>IFERROR(VLOOKUP($G55,波及効果シート!$A$4:$Z$45,5,FALSE),0)</f>
        <v>0</v>
      </c>
      <c r="L55" s="446">
        <f>IFERROR(VLOOKUP($G55,波及効果シート!$A$4:$Z$45,6,FALSE),0)</f>
        <v>0</v>
      </c>
      <c r="M55" s="446">
        <f>IFERROR(VLOOKUP($G55,波及効果シート!$A$4:$Z$45,7,FALSE),0)</f>
        <v>0</v>
      </c>
      <c r="N55" s="446">
        <f>IFERROR(VLOOKUP($G55,波及効果シート!$A$4:$Z$45,8,FALSE),0)</f>
        <v>0</v>
      </c>
      <c r="O55" s="446">
        <f>IFERROR(VLOOKUP($G55,波及効果シート!$A$4:$Z$45,9,FALSE),0)</f>
        <v>0</v>
      </c>
      <c r="P55" s="446">
        <f>IFERROR(VLOOKUP($G55,#REF!,13,FALSE),0)</f>
        <v>0</v>
      </c>
      <c r="Q55" s="446">
        <f>IFERROR(VLOOKUP($G55,#REF!,14,FALSE),0)</f>
        <v>0</v>
      </c>
      <c r="R55" s="592"/>
    </row>
    <row r="56" spans="1:18" x14ac:dyDescent="0.2">
      <c r="A56" s="427"/>
      <c r="B56" s="440"/>
      <c r="C56" s="440"/>
      <c r="D56" s="475"/>
      <c r="E56" s="440"/>
      <c r="F56" s="602">
        <f>1-SUM(F53:F55)</f>
        <v>1</v>
      </c>
      <c r="G56" s="603" t="s">
        <v>243</v>
      </c>
      <c r="H56" s="448"/>
      <c r="I56" s="448"/>
      <c r="J56" s="448"/>
      <c r="K56" s="448"/>
      <c r="L56" s="448"/>
      <c r="M56" s="448"/>
      <c r="N56" s="448"/>
      <c r="O56" s="448"/>
      <c r="P56" s="448"/>
      <c r="Q56" s="448"/>
      <c r="R56" s="592"/>
    </row>
    <row r="57" spans="1:18" x14ac:dyDescent="0.2">
      <c r="A57" s="427"/>
      <c r="B57" s="440" t="str">
        <f>インプット!B63</f>
        <v>＜その他・費目を入力＞</v>
      </c>
      <c r="C57" s="440"/>
      <c r="D57" s="470">
        <f>インプット!E63</f>
        <v>0</v>
      </c>
      <c r="E57" s="440" t="s">
        <v>245</v>
      </c>
      <c r="F57" s="563">
        <f>インプット!$F$63</f>
        <v>0</v>
      </c>
      <c r="G57" s="564">
        <f>インプット!$G$63</f>
        <v>0</v>
      </c>
      <c r="H57" s="446">
        <f>IFERROR(VLOOKUP($G57,波及効果シート!$A$4:$Z$45,2,FALSE),0)</f>
        <v>0</v>
      </c>
      <c r="I57" s="446">
        <f>IFERROR(VLOOKUP($G57,波及効果シート!$A$4:$Z$45,3,FALSE),0)</f>
        <v>0</v>
      </c>
      <c r="J57" s="446">
        <f>IFERROR(VLOOKUP($G57,波及効果シート!$A$4:$Z$45,4,FALSE),0)</f>
        <v>0</v>
      </c>
      <c r="K57" s="446">
        <f>IFERROR(VLOOKUP($G57,波及効果シート!$A$4:$Z$45,5,FALSE),0)</f>
        <v>0</v>
      </c>
      <c r="L57" s="446">
        <f>IFERROR(VLOOKUP($G57,波及効果シート!$A$4:$Z$45,6,FALSE),0)</f>
        <v>0</v>
      </c>
      <c r="M57" s="446">
        <f>IFERROR(VLOOKUP($G57,波及効果シート!$A$4:$Z$45,7,FALSE),0)</f>
        <v>0</v>
      </c>
      <c r="N57" s="446">
        <f>IFERROR(VLOOKUP($G57,波及効果シート!$A$4:$Z$45,8,FALSE),0)</f>
        <v>0</v>
      </c>
      <c r="O57" s="446">
        <f>IFERROR(VLOOKUP($G57,波及効果シート!$A$4:$Z$45,9,FALSE),0)</f>
        <v>0</v>
      </c>
      <c r="P57" s="446">
        <f>IFERROR(VLOOKUP($G57,#REF!,13,FALSE),0)</f>
        <v>0</v>
      </c>
      <c r="Q57" s="446">
        <f>IFERROR(VLOOKUP($G57,#REF!,14,FALSE),0)</f>
        <v>0</v>
      </c>
      <c r="R57" s="592"/>
    </row>
    <row r="58" spans="1:18" x14ac:dyDescent="0.2">
      <c r="A58" s="427"/>
      <c r="B58" s="420"/>
      <c r="C58" s="420"/>
      <c r="D58" s="568"/>
      <c r="E58" s="420"/>
      <c r="F58" s="565">
        <f>インプット!$H$63</f>
        <v>0</v>
      </c>
      <c r="G58" s="564">
        <f>インプット!$I$63</f>
        <v>0</v>
      </c>
      <c r="H58" s="446">
        <f>IFERROR(VLOOKUP($G58,波及効果シート!$A$4:$Z$45,2,FALSE),0)</f>
        <v>0</v>
      </c>
      <c r="I58" s="446">
        <f>IFERROR(VLOOKUP($G58,波及効果シート!$A$4:$Z$45,3,FALSE),0)</f>
        <v>0</v>
      </c>
      <c r="J58" s="446">
        <f>IFERROR(VLOOKUP($G58,波及効果シート!$A$4:$Z$45,4,FALSE),0)</f>
        <v>0</v>
      </c>
      <c r="K58" s="446">
        <f>IFERROR(VLOOKUP($G58,波及効果シート!$A$4:$Z$45,5,FALSE),0)</f>
        <v>0</v>
      </c>
      <c r="L58" s="446">
        <f>IFERROR(VLOOKUP($G58,波及効果シート!$A$4:$Z$45,6,FALSE),0)</f>
        <v>0</v>
      </c>
      <c r="M58" s="446">
        <f>IFERROR(VLOOKUP($G58,波及効果シート!$A$4:$Z$45,7,FALSE),0)</f>
        <v>0</v>
      </c>
      <c r="N58" s="446">
        <f>IFERROR(VLOOKUP($G58,波及効果シート!$A$4:$Z$45,8,FALSE),0)</f>
        <v>0</v>
      </c>
      <c r="O58" s="446">
        <f>IFERROR(VLOOKUP($G58,波及効果シート!$A$4:$Z$45,9,FALSE),0)</f>
        <v>0</v>
      </c>
      <c r="P58" s="446">
        <f>IFERROR(VLOOKUP($G58,#REF!,13,FALSE),0)</f>
        <v>0</v>
      </c>
      <c r="Q58" s="446">
        <f>IFERROR(VLOOKUP($G58,#REF!,14,FALSE),0)</f>
        <v>0</v>
      </c>
      <c r="R58" s="592"/>
    </row>
    <row r="59" spans="1:18" x14ac:dyDescent="0.2">
      <c r="A59" s="427"/>
      <c r="B59" s="455"/>
      <c r="C59" s="420"/>
      <c r="D59" s="468"/>
      <c r="E59" s="420"/>
      <c r="F59" s="565">
        <f>インプット!$J$63</f>
        <v>0</v>
      </c>
      <c r="G59" s="564">
        <f>インプット!$K$63</f>
        <v>0</v>
      </c>
      <c r="H59" s="446">
        <f>IFERROR(VLOOKUP($G59,波及効果シート!$A$4:$Z$45,2,FALSE),0)</f>
        <v>0</v>
      </c>
      <c r="I59" s="446">
        <f>IFERROR(VLOOKUP($G59,波及効果シート!$A$4:$Z$45,3,FALSE),0)</f>
        <v>0</v>
      </c>
      <c r="J59" s="446">
        <f>IFERROR(VLOOKUP($G59,波及効果シート!$A$4:$Z$45,4,FALSE),0)</f>
        <v>0</v>
      </c>
      <c r="K59" s="446">
        <f>IFERROR(VLOOKUP($G59,波及効果シート!$A$4:$Z$45,5,FALSE),0)</f>
        <v>0</v>
      </c>
      <c r="L59" s="446">
        <f>IFERROR(VLOOKUP($G59,波及効果シート!$A$4:$Z$45,6,FALSE),0)</f>
        <v>0</v>
      </c>
      <c r="M59" s="446">
        <f>IFERROR(VLOOKUP($G59,波及効果シート!$A$4:$Z$45,7,FALSE),0)</f>
        <v>0</v>
      </c>
      <c r="N59" s="446">
        <f>IFERROR(VLOOKUP($G59,波及効果シート!$A$4:$Z$45,8,FALSE),0)</f>
        <v>0</v>
      </c>
      <c r="O59" s="446">
        <f>IFERROR(VLOOKUP($G59,波及効果シート!$A$4:$Z$45,9,FALSE),0)</f>
        <v>0</v>
      </c>
      <c r="P59" s="446">
        <f>IFERROR(VLOOKUP($G59,#REF!,13,FALSE),0)</f>
        <v>0</v>
      </c>
      <c r="Q59" s="446">
        <f>IFERROR(VLOOKUP($G59,#REF!,14,FALSE),0)</f>
        <v>0</v>
      </c>
      <c r="R59" s="592"/>
    </row>
    <row r="60" spans="1:18" x14ac:dyDescent="0.2">
      <c r="A60" s="427"/>
      <c r="B60" s="440"/>
      <c r="C60" s="440"/>
      <c r="D60" s="475"/>
      <c r="E60" s="440"/>
      <c r="F60" s="602">
        <f>1-SUM(F57:F59)</f>
        <v>1</v>
      </c>
      <c r="G60" s="603" t="s">
        <v>243</v>
      </c>
      <c r="H60" s="448"/>
      <c r="I60" s="448"/>
      <c r="J60" s="448"/>
      <c r="K60" s="448"/>
      <c r="L60" s="448"/>
      <c r="M60" s="448"/>
      <c r="N60" s="448"/>
      <c r="O60" s="448"/>
      <c r="P60" s="448"/>
      <c r="Q60" s="448"/>
      <c r="R60" s="592"/>
    </row>
    <row r="61" spans="1:18" x14ac:dyDescent="0.2">
      <c r="A61" s="427"/>
      <c r="B61" s="440" t="str">
        <f>インプット!B64</f>
        <v>＜その他・費目を入力＞</v>
      </c>
      <c r="C61" s="440"/>
      <c r="D61" s="470">
        <f>インプット!E64</f>
        <v>0</v>
      </c>
      <c r="E61" s="440" t="s">
        <v>245</v>
      </c>
      <c r="F61" s="563">
        <f>インプット!$F$64</f>
        <v>0</v>
      </c>
      <c r="G61" s="564">
        <f>インプット!$G$64</f>
        <v>0</v>
      </c>
      <c r="H61" s="446">
        <f>IFERROR(VLOOKUP($G61,波及効果シート!$A$4:$Z$45,2,FALSE),0)</f>
        <v>0</v>
      </c>
      <c r="I61" s="446">
        <f>IFERROR(VLOOKUP($G61,波及効果シート!$A$4:$Z$45,3,FALSE),0)</f>
        <v>0</v>
      </c>
      <c r="J61" s="446">
        <f>IFERROR(VLOOKUP($G61,波及効果シート!$A$4:$Z$45,4,FALSE),0)</f>
        <v>0</v>
      </c>
      <c r="K61" s="446">
        <f>IFERROR(VLOOKUP($G61,波及効果シート!$A$4:$Z$45,5,FALSE),0)</f>
        <v>0</v>
      </c>
      <c r="L61" s="446">
        <f>IFERROR(VLOOKUP($G61,波及効果シート!$A$4:$Z$45,6,FALSE),0)</f>
        <v>0</v>
      </c>
      <c r="M61" s="446">
        <f>IFERROR(VLOOKUP($G61,波及効果シート!$A$4:$Z$45,7,FALSE),0)</f>
        <v>0</v>
      </c>
      <c r="N61" s="446">
        <f>IFERROR(VLOOKUP($G61,波及効果シート!$A$4:$Z$45,8,FALSE),0)</f>
        <v>0</v>
      </c>
      <c r="O61" s="446">
        <f>IFERROR(VLOOKUP($G61,波及効果シート!$A$4:$Z$45,9,FALSE),0)</f>
        <v>0</v>
      </c>
      <c r="P61" s="446">
        <f>IFERROR(VLOOKUP($G61,#REF!,13,FALSE),0)</f>
        <v>0</v>
      </c>
      <c r="Q61" s="446">
        <f>IFERROR(VLOOKUP($G61,#REF!,14,FALSE),0)</f>
        <v>0</v>
      </c>
      <c r="R61" s="592"/>
    </row>
    <row r="62" spans="1:18" x14ac:dyDescent="0.2">
      <c r="A62" s="427"/>
      <c r="B62" s="420"/>
      <c r="C62" s="420"/>
      <c r="D62" s="568"/>
      <c r="E62" s="420"/>
      <c r="F62" s="565">
        <f>インプット!$H$64</f>
        <v>0</v>
      </c>
      <c r="G62" s="564">
        <f>インプット!$I$64</f>
        <v>0</v>
      </c>
      <c r="H62" s="446">
        <f>IFERROR(VLOOKUP($G62,波及効果シート!$A$4:$Z$45,2,FALSE),0)</f>
        <v>0</v>
      </c>
      <c r="I62" s="446">
        <f>IFERROR(VLOOKUP($G62,波及効果シート!$A$4:$Z$45,3,FALSE),0)</f>
        <v>0</v>
      </c>
      <c r="J62" s="446">
        <f>IFERROR(VLOOKUP($G62,波及効果シート!$A$4:$Z$45,4,FALSE),0)</f>
        <v>0</v>
      </c>
      <c r="K62" s="446">
        <f>IFERROR(VLOOKUP($G62,波及効果シート!$A$4:$Z$45,5,FALSE),0)</f>
        <v>0</v>
      </c>
      <c r="L62" s="446">
        <f>IFERROR(VLOOKUP($G62,波及効果シート!$A$4:$Z$45,6,FALSE),0)</f>
        <v>0</v>
      </c>
      <c r="M62" s="446">
        <f>IFERROR(VLOOKUP($G62,波及効果シート!$A$4:$Z$45,7,FALSE),0)</f>
        <v>0</v>
      </c>
      <c r="N62" s="446">
        <f>IFERROR(VLOOKUP($G62,波及効果シート!$A$4:$Z$45,8,FALSE),0)</f>
        <v>0</v>
      </c>
      <c r="O62" s="446">
        <f>IFERROR(VLOOKUP($G62,波及効果シート!$A$4:$Z$45,9,FALSE),0)</f>
        <v>0</v>
      </c>
      <c r="P62" s="446">
        <f>IFERROR(VLOOKUP($G62,#REF!,13,FALSE),0)</f>
        <v>0</v>
      </c>
      <c r="Q62" s="446">
        <f>IFERROR(VLOOKUP($G62,#REF!,14,FALSE),0)</f>
        <v>0</v>
      </c>
      <c r="R62" s="592"/>
    </row>
    <row r="63" spans="1:18" x14ac:dyDescent="0.2">
      <c r="A63" s="427"/>
      <c r="B63" s="455"/>
      <c r="C63" s="420"/>
      <c r="D63" s="468"/>
      <c r="E63" s="420"/>
      <c r="F63" s="565">
        <f>インプット!$J$64</f>
        <v>0</v>
      </c>
      <c r="G63" s="564">
        <f>インプット!$K$64</f>
        <v>0</v>
      </c>
      <c r="H63" s="446">
        <f>IFERROR(VLOOKUP($G63,波及効果シート!$A$4:$Z$45,2,FALSE),0)</f>
        <v>0</v>
      </c>
      <c r="I63" s="446">
        <f>IFERROR(VLOOKUP($G63,波及効果シート!$A$4:$Z$45,3,FALSE),0)</f>
        <v>0</v>
      </c>
      <c r="J63" s="446">
        <f>IFERROR(VLOOKUP($G63,波及効果シート!$A$4:$Z$45,4,FALSE),0)</f>
        <v>0</v>
      </c>
      <c r="K63" s="446">
        <f>IFERROR(VLOOKUP($G63,波及効果シート!$A$4:$Z$45,5,FALSE),0)</f>
        <v>0</v>
      </c>
      <c r="L63" s="446">
        <f>IFERROR(VLOOKUP($G63,波及効果シート!$A$4:$Z$45,6,FALSE),0)</f>
        <v>0</v>
      </c>
      <c r="M63" s="446">
        <f>IFERROR(VLOOKUP($G63,波及効果シート!$A$4:$Z$45,7,FALSE),0)</f>
        <v>0</v>
      </c>
      <c r="N63" s="446">
        <f>IFERROR(VLOOKUP($G63,波及効果シート!$A$4:$Z$45,8,FALSE),0)</f>
        <v>0</v>
      </c>
      <c r="O63" s="446">
        <f>IFERROR(VLOOKUP($G63,波及効果シート!$A$4:$Z$45,9,FALSE),0)</f>
        <v>0</v>
      </c>
      <c r="P63" s="446">
        <f>IFERROR(VLOOKUP($G63,#REF!,13,FALSE),0)</f>
        <v>0</v>
      </c>
      <c r="Q63" s="446">
        <f>IFERROR(VLOOKUP($G63,#REF!,14,FALSE),0)</f>
        <v>0</v>
      </c>
      <c r="R63" s="592"/>
    </row>
    <row r="64" spans="1:18" x14ac:dyDescent="0.2">
      <c r="A64" s="427"/>
      <c r="B64" s="440"/>
      <c r="C64" s="440"/>
      <c r="D64" s="475"/>
      <c r="E64" s="440"/>
      <c r="F64" s="602">
        <f>1-SUM(F61:F63)</f>
        <v>1</v>
      </c>
      <c r="G64" s="603" t="s">
        <v>243</v>
      </c>
      <c r="H64" s="448"/>
      <c r="I64" s="448"/>
      <c r="J64" s="448"/>
      <c r="K64" s="448"/>
      <c r="L64" s="448"/>
      <c r="M64" s="448"/>
      <c r="N64" s="448"/>
      <c r="O64" s="448"/>
      <c r="P64" s="448"/>
      <c r="Q64" s="448"/>
      <c r="R64" s="592"/>
    </row>
    <row r="65" spans="1:18" x14ac:dyDescent="0.2">
      <c r="A65" s="427" t="s">
        <v>487</v>
      </c>
      <c r="B65" s="440" t="s">
        <v>374</v>
      </c>
      <c r="C65" s="440"/>
      <c r="D65" s="470">
        <f>インプット!E67</f>
        <v>41089878.960231602</v>
      </c>
      <c r="E65" s="440" t="s">
        <v>245</v>
      </c>
      <c r="F65" s="563">
        <v>1</v>
      </c>
      <c r="G65" s="566" t="s">
        <v>488</v>
      </c>
      <c r="H65" s="446">
        <f>IFERROR(VLOOKUP($G65,波及効果シート!$A$4:$Z$45,2,FALSE),0)</f>
        <v>0</v>
      </c>
      <c r="I65" s="446">
        <f>IFERROR(VLOOKUP($G65,波及効果シート!$A$4:$Z$45,3,FALSE),0)</f>
        <v>0</v>
      </c>
      <c r="J65" s="446">
        <f>IFERROR(VLOOKUP($G65,波及効果シート!$A$4:$Z$45,4,FALSE),0)</f>
        <v>0</v>
      </c>
      <c r="K65" s="446">
        <f>IFERROR(VLOOKUP($G65,波及効果シート!$A$4:$Z$45,5,FALSE),0)</f>
        <v>0</v>
      </c>
      <c r="L65" s="446">
        <f>IFERROR(VLOOKUP($G65,波及効果シート!$A$4:$Z$45,6,FALSE),0)</f>
        <v>0</v>
      </c>
      <c r="M65" s="446">
        <f>IFERROR(VLOOKUP($G65,波及効果シート!$A$4:$Z$45,7,FALSE),0)</f>
        <v>0</v>
      </c>
      <c r="N65" s="446">
        <f>IFERROR(VLOOKUP($G65,波及効果シート!$A$4:$Z$45,8,FALSE),0)</f>
        <v>0</v>
      </c>
      <c r="O65" s="446">
        <f>IFERROR(VLOOKUP($G65,波及効果シート!$A$4:$Z$45,9,FALSE),0)</f>
        <v>0</v>
      </c>
      <c r="P65" s="446">
        <f>IFERROR(VLOOKUP($G65,#REF!,13,FALSE),0)</f>
        <v>0</v>
      </c>
      <c r="Q65" s="446">
        <f>IFERROR(VLOOKUP($G65,#REF!,14,FALSE),0)</f>
        <v>0</v>
      </c>
      <c r="R65" s="592"/>
    </row>
    <row r="66" spans="1:18" x14ac:dyDescent="0.2">
      <c r="A66" s="427"/>
      <c r="B66" s="420"/>
      <c r="C66" s="420"/>
      <c r="D66" s="568"/>
      <c r="E66" s="420"/>
      <c r="F66" s="689"/>
      <c r="G66" s="690"/>
      <c r="H66" s="446">
        <f>IFERROR(VLOOKUP($G66,波及効果シート!$A$4:$Z$45,2,FALSE),0)</f>
        <v>0</v>
      </c>
      <c r="I66" s="446">
        <f>IFERROR(VLOOKUP($G66,波及効果シート!$A$4:$Z$45,3,FALSE),0)</f>
        <v>0</v>
      </c>
      <c r="J66" s="446">
        <f>IFERROR(VLOOKUP($G66,波及効果シート!$A$4:$Z$45,4,FALSE),0)</f>
        <v>0</v>
      </c>
      <c r="K66" s="446">
        <f>IFERROR(VLOOKUP($G66,波及効果シート!$A$4:$Z$45,5,FALSE),0)</f>
        <v>0</v>
      </c>
      <c r="L66" s="446">
        <f>IFERROR(VLOOKUP($G66,波及効果シート!$A$4:$Z$45,6,FALSE),0)</f>
        <v>0</v>
      </c>
      <c r="M66" s="446">
        <f>IFERROR(VLOOKUP($G66,波及効果シート!$A$4:$Z$45,7,FALSE),0)</f>
        <v>0</v>
      </c>
      <c r="N66" s="446">
        <f>IFERROR(VLOOKUP($G66,波及効果シート!$A$4:$Z$45,8,FALSE),0)</f>
        <v>0</v>
      </c>
      <c r="O66" s="446">
        <f>IFERROR(VLOOKUP($G66,波及効果シート!$A$4:$Z$45,9,FALSE),0)</f>
        <v>0</v>
      </c>
      <c r="P66" s="446">
        <f>IFERROR(VLOOKUP($G66,#REF!,13,FALSE),0)</f>
        <v>0</v>
      </c>
      <c r="Q66" s="446">
        <f>IFERROR(VLOOKUP($G66,#REF!,14,FALSE),0)</f>
        <v>0</v>
      </c>
      <c r="R66" s="592"/>
    </row>
    <row r="67" spans="1:18" x14ac:dyDescent="0.2">
      <c r="A67" s="427"/>
      <c r="B67" s="455"/>
      <c r="C67" s="420"/>
      <c r="D67" s="468"/>
      <c r="E67" s="420"/>
      <c r="F67" s="689"/>
      <c r="G67" s="690"/>
      <c r="H67" s="446">
        <f>IFERROR(VLOOKUP($G67,波及効果シート!$A$4:$Z$45,2,FALSE),0)</f>
        <v>0</v>
      </c>
      <c r="I67" s="446">
        <f>IFERROR(VLOOKUP($G67,波及効果シート!$A$4:$Z$45,3,FALSE),0)</f>
        <v>0</v>
      </c>
      <c r="J67" s="446">
        <f>IFERROR(VLOOKUP($G67,波及効果シート!$A$4:$Z$45,4,FALSE),0)</f>
        <v>0</v>
      </c>
      <c r="K67" s="446">
        <f>IFERROR(VLOOKUP($G67,波及効果シート!$A$4:$Z$45,5,FALSE),0)</f>
        <v>0</v>
      </c>
      <c r="L67" s="446">
        <f>IFERROR(VLOOKUP($G67,波及効果シート!$A$4:$Z$45,6,FALSE),0)</f>
        <v>0</v>
      </c>
      <c r="M67" s="446">
        <f>IFERROR(VLOOKUP($G67,波及効果シート!$A$4:$Z$45,7,FALSE),0)</f>
        <v>0</v>
      </c>
      <c r="N67" s="446">
        <f>IFERROR(VLOOKUP($G67,波及効果シート!$A$4:$Z$45,8,FALSE),0)</f>
        <v>0</v>
      </c>
      <c r="O67" s="446">
        <f>IFERROR(VLOOKUP($G67,波及効果シート!$A$4:$Z$45,9,FALSE),0)</f>
        <v>0</v>
      </c>
      <c r="P67" s="446">
        <f>IFERROR(VLOOKUP($G67,#REF!,13,FALSE),0)</f>
        <v>0</v>
      </c>
      <c r="Q67" s="446">
        <f>IFERROR(VLOOKUP($G67,#REF!,14,FALSE),0)</f>
        <v>0</v>
      </c>
      <c r="R67" s="592"/>
    </row>
    <row r="68" spans="1:18" x14ac:dyDescent="0.2">
      <c r="A68" s="427"/>
      <c r="B68" s="440"/>
      <c r="C68" s="440"/>
      <c r="D68" s="475"/>
      <c r="E68" s="440"/>
      <c r="F68" s="691"/>
      <c r="G68" s="692"/>
      <c r="H68" s="448"/>
      <c r="I68" s="448"/>
      <c r="J68" s="448"/>
      <c r="K68" s="448"/>
      <c r="L68" s="448"/>
      <c r="M68" s="448"/>
      <c r="N68" s="448"/>
      <c r="O68" s="448"/>
      <c r="P68" s="448"/>
      <c r="Q68" s="448"/>
      <c r="R68" s="592"/>
    </row>
    <row r="69" spans="1:18" x14ac:dyDescent="0.2">
      <c r="A69" s="427"/>
      <c r="B69" s="440" t="str">
        <f>インプット!B67</f>
        <v>メンテナンス費</v>
      </c>
      <c r="C69" s="440"/>
      <c r="D69" s="470">
        <f>インプット!E66</f>
        <v>24653927.376138959</v>
      </c>
      <c r="E69" s="440" t="s">
        <v>245</v>
      </c>
      <c r="F69" s="563">
        <f>インプット!$F$67</f>
        <v>0.5</v>
      </c>
      <c r="G69" s="564" t="str">
        <f>インプット!$G$67</f>
        <v>その他のサービス業</v>
      </c>
      <c r="H69" s="446">
        <f>IFERROR(VLOOKUP($G69,波及効果シート!$A$4:$Z$45,2,FALSE),0)</f>
        <v>0.20166052843343305</v>
      </c>
      <c r="I69" s="446">
        <f>IFERROR(VLOOKUP($G69,波及効果シート!$A$4:$Z$45,3,FALSE),0)</f>
        <v>4.612588765638799E-2</v>
      </c>
      <c r="J69" s="446">
        <f>IFERROR(VLOOKUP($G69,波及効果シート!$A$4:$Z$45,4,FALSE),0)</f>
        <v>2.3811774767967815E-2</v>
      </c>
      <c r="K69" s="446">
        <f>IFERROR(VLOOKUP($G69,波及効果シート!$A$4:$Z$45,5,FALSE),0)</f>
        <v>1.2591808597441049E-2</v>
      </c>
      <c r="L69" s="446">
        <f>IFERROR(VLOOKUP($G69,波及効果シート!$A$4:$Z$45,6,FALSE),0)</f>
        <v>1.4252051374319556E-2</v>
      </c>
      <c r="M69" s="446">
        <f>IFERROR(VLOOKUP($G69,波及効果シート!$A$4:$Z$45,7,FALSE),0)</f>
        <v>1.7059018446566522E-2</v>
      </c>
      <c r="N69" s="446">
        <f>IFERROR(VLOOKUP($G69,波及効果シート!$A$4:$Z$45,8,FALSE),0)</f>
        <v>3.5045797445338628E-3</v>
      </c>
      <c r="O69" s="446">
        <f>IFERROR(VLOOKUP($G69,波及効果シート!$A$4:$Z$45,9,FALSE),0)</f>
        <v>1.101603767296744E-3</v>
      </c>
      <c r="P69" s="446">
        <f>IFERROR(VLOOKUP($G69,#REF!,13,FALSE),0)</f>
        <v>0</v>
      </c>
      <c r="Q69" s="446">
        <f>IFERROR(VLOOKUP($G69,#REF!,14,FALSE),0)</f>
        <v>0</v>
      </c>
      <c r="R69" s="592"/>
    </row>
    <row r="70" spans="1:18" x14ac:dyDescent="0.2">
      <c r="A70" s="427"/>
      <c r="B70" s="420"/>
      <c r="C70" s="420"/>
      <c r="D70" s="568"/>
      <c r="E70" s="420"/>
      <c r="F70" s="565">
        <f>インプット!$H$67</f>
        <v>0</v>
      </c>
      <c r="G70" s="564">
        <f>インプット!$I$67</f>
        <v>0</v>
      </c>
      <c r="H70" s="446">
        <f>IFERROR(VLOOKUP($G70,波及効果シート!$A$4:$Z$45,2,FALSE),0)</f>
        <v>0</v>
      </c>
      <c r="I70" s="446">
        <f>IFERROR(VLOOKUP($G70,波及効果シート!$A$4:$Z$45,3,FALSE),0)</f>
        <v>0</v>
      </c>
      <c r="J70" s="446">
        <f>IFERROR(VLOOKUP($G70,波及効果シート!$A$4:$Z$45,4,FALSE),0)</f>
        <v>0</v>
      </c>
      <c r="K70" s="446">
        <f>IFERROR(VLOOKUP($G70,波及効果シート!$A$4:$Z$45,5,FALSE),0)</f>
        <v>0</v>
      </c>
      <c r="L70" s="446">
        <f>IFERROR(VLOOKUP($G70,波及効果シート!$A$4:$Z$45,6,FALSE),0)</f>
        <v>0</v>
      </c>
      <c r="M70" s="446">
        <f>IFERROR(VLOOKUP($G70,波及効果シート!$A$4:$Z$45,7,FALSE),0)</f>
        <v>0</v>
      </c>
      <c r="N70" s="446">
        <f>IFERROR(VLOOKUP($G70,波及効果シート!$A$4:$Z$45,8,FALSE),0)</f>
        <v>0</v>
      </c>
      <c r="O70" s="446">
        <f>IFERROR(VLOOKUP($G70,波及効果シート!$A$4:$Z$45,9,FALSE),0)</f>
        <v>0</v>
      </c>
      <c r="P70" s="446">
        <f>IFERROR(VLOOKUP($G70,#REF!,13,FALSE),0)</f>
        <v>0</v>
      </c>
      <c r="Q70" s="446">
        <f>IFERROR(VLOOKUP($G70,#REF!,14,FALSE),0)</f>
        <v>0</v>
      </c>
      <c r="R70" s="592"/>
    </row>
    <row r="71" spans="1:18" x14ac:dyDescent="0.2">
      <c r="A71" s="427"/>
      <c r="B71" s="604"/>
      <c r="C71" s="420"/>
      <c r="D71" s="468"/>
      <c r="E71" s="420"/>
      <c r="F71" s="565">
        <f>インプット!$J$67</f>
        <v>0</v>
      </c>
      <c r="G71" s="564">
        <f>インプット!$K$67</f>
        <v>0</v>
      </c>
      <c r="H71" s="446">
        <f>IFERROR(VLOOKUP($G71,波及効果シート!$A$4:$Z$45,2,FALSE),0)</f>
        <v>0</v>
      </c>
      <c r="I71" s="446">
        <f>IFERROR(VLOOKUP($G71,波及効果シート!$A$4:$Z$45,3,FALSE),0)</f>
        <v>0</v>
      </c>
      <c r="J71" s="446">
        <f>IFERROR(VLOOKUP($G71,波及効果シート!$A$4:$Z$45,4,FALSE),0)</f>
        <v>0</v>
      </c>
      <c r="K71" s="446">
        <f>IFERROR(VLOOKUP($G71,波及効果シート!$A$4:$Z$45,5,FALSE),0)</f>
        <v>0</v>
      </c>
      <c r="L71" s="446">
        <f>IFERROR(VLOOKUP($G71,波及効果シート!$A$4:$Z$45,6,FALSE),0)</f>
        <v>0</v>
      </c>
      <c r="M71" s="446">
        <f>IFERROR(VLOOKUP($G71,波及効果シート!$A$4:$Z$45,7,FALSE),0)</f>
        <v>0</v>
      </c>
      <c r="N71" s="446">
        <f>IFERROR(VLOOKUP($G71,波及効果シート!$A$4:$Z$45,8,FALSE),0)</f>
        <v>0</v>
      </c>
      <c r="O71" s="446">
        <f>IFERROR(VLOOKUP($G71,波及効果シート!$A$4:$Z$45,9,FALSE),0)</f>
        <v>0</v>
      </c>
      <c r="P71" s="446">
        <f>IFERROR(VLOOKUP($G71,#REF!,13,FALSE),0)</f>
        <v>0</v>
      </c>
      <c r="Q71" s="446">
        <f>IFERROR(VLOOKUP($G71,#REF!,14,FALSE),0)</f>
        <v>0</v>
      </c>
      <c r="R71" s="592"/>
    </row>
    <row r="72" spans="1:18" x14ac:dyDescent="0.2">
      <c r="A72" s="427"/>
      <c r="B72" s="440"/>
      <c r="C72" s="440"/>
      <c r="D72" s="475"/>
      <c r="E72" s="440"/>
      <c r="F72" s="602">
        <f>1-SUM(F69:F71)</f>
        <v>0.5</v>
      </c>
      <c r="G72" s="603" t="s">
        <v>243</v>
      </c>
      <c r="H72" s="448"/>
      <c r="I72" s="448"/>
      <c r="J72" s="448"/>
      <c r="K72" s="448"/>
      <c r="L72" s="448"/>
      <c r="M72" s="448"/>
      <c r="N72" s="448"/>
      <c r="O72" s="448"/>
      <c r="P72" s="448"/>
      <c r="Q72" s="448"/>
      <c r="R72" s="592"/>
    </row>
    <row r="73" spans="1:18" x14ac:dyDescent="0.2">
      <c r="A73" s="427"/>
      <c r="B73" s="440" t="str">
        <f>インプット!B68</f>
        <v>一般管理費</v>
      </c>
      <c r="C73" s="440"/>
      <c r="D73" s="470">
        <f>インプット!E68</f>
        <v>16435951.584092641</v>
      </c>
      <c r="E73" s="440" t="s">
        <v>245</v>
      </c>
      <c r="F73" s="563">
        <f>インプット!$F$68</f>
        <v>0.16666666666666666</v>
      </c>
      <c r="G73" s="564" t="str">
        <f>インプット!$G$68</f>
        <v>情報通信業</v>
      </c>
      <c r="H73" s="446">
        <f>IFERROR(VLOOKUP($G73,波及効果シート!$A$4:$Z$45,2,FALSE),0)</f>
        <v>0.11377968834970313</v>
      </c>
      <c r="I73" s="446">
        <f>IFERROR(VLOOKUP($G73,波及効果シート!$A$4:$Z$45,3,FALSE),0)</f>
        <v>7.2004843609441427E-2</v>
      </c>
      <c r="J73" s="446">
        <f>IFERROR(VLOOKUP($G73,波及効果シート!$A$4:$Z$45,4,FALSE),0)</f>
        <v>1.9505065869069527E-2</v>
      </c>
      <c r="K73" s="446">
        <f>IFERROR(VLOOKUP($G73,波及効果シート!$A$4:$Z$45,5,FALSE),0)</f>
        <v>7.8098671521897181E-3</v>
      </c>
      <c r="L73" s="446">
        <f>IFERROR(VLOOKUP($G73,波及効果シート!$A$4:$Z$45,6,FALSE),0)</f>
        <v>6.4624711379657251E-2</v>
      </c>
      <c r="M73" s="446">
        <f>IFERROR(VLOOKUP($G73,波及効果シート!$A$4:$Z$45,7,FALSE),0)</f>
        <v>4.3833681207188571E-2</v>
      </c>
      <c r="N73" s="446">
        <f>IFERROR(VLOOKUP($G73,波及効果シート!$A$4:$Z$45,8,FALSE),0)</f>
        <v>1.14661484519686E-2</v>
      </c>
      <c r="O73" s="446">
        <f>IFERROR(VLOOKUP($G73,波及効果シート!$A$4:$Z$45,9,FALSE),0)</f>
        <v>4.4809034005123833E-3</v>
      </c>
      <c r="P73" s="446">
        <f>IFERROR(VLOOKUP($G73,#REF!,13,FALSE),0)</f>
        <v>0</v>
      </c>
      <c r="Q73" s="446">
        <f>IFERROR(VLOOKUP($G73,#REF!,14,FALSE),0)</f>
        <v>0</v>
      </c>
      <c r="R73" s="592"/>
    </row>
    <row r="74" spans="1:18" x14ac:dyDescent="0.2">
      <c r="A74" s="427"/>
      <c r="B74" s="420"/>
      <c r="C74" s="420"/>
      <c r="D74" s="568"/>
      <c r="E74" s="420"/>
      <c r="F74" s="565">
        <f>インプット!$H$68</f>
        <v>0.16666666666666666</v>
      </c>
      <c r="G74" s="564" t="str">
        <f>インプット!$I$68</f>
        <v>損害保険業</v>
      </c>
      <c r="H74" s="446">
        <f>IFERROR(VLOOKUP($G74,波及効果シート!$A$4:$Z$45,2,FALSE),0)</f>
        <v>4.9150236897309768E-2</v>
      </c>
      <c r="I74" s="446">
        <f>IFERROR(VLOOKUP($G74,波及効果シート!$A$4:$Z$45,3,FALSE),0)</f>
        <v>5.3618517079342641E-2</v>
      </c>
      <c r="J74" s="446">
        <f>IFERROR(VLOOKUP($G74,波及効果シート!$A$4:$Z$45,4,FALSE),0)</f>
        <v>1.1397979652954235E-2</v>
      </c>
      <c r="K74" s="446">
        <f>IFERROR(VLOOKUP($G74,波及効果シート!$A$4:$Z$45,5,FALSE),0)</f>
        <v>3.7190800291901178E-3</v>
      </c>
      <c r="L74" s="446">
        <f>IFERROR(VLOOKUP($G74,波及効果シート!$A$4:$Z$45,6,FALSE),0)</f>
        <v>6.0185340312548186E-2</v>
      </c>
      <c r="M74" s="446">
        <f>IFERROR(VLOOKUP($G74,波及効果シート!$A$4:$Z$45,7,FALSE),0)</f>
        <v>3.7214410751098125E-2</v>
      </c>
      <c r="N74" s="446">
        <f>IFERROR(VLOOKUP($G74,波及効果シート!$A$4:$Z$45,8,FALSE),0)</f>
        <v>1.0202151488705905E-2</v>
      </c>
      <c r="O74" s="446">
        <f>IFERROR(VLOOKUP($G74,波及効果シート!$A$4:$Z$45,9,FALSE),0)</f>
        <v>4.117735923069671E-3</v>
      </c>
      <c r="P74" s="446">
        <f>IFERROR(VLOOKUP($G74,#REF!,13,FALSE),0)</f>
        <v>0</v>
      </c>
      <c r="Q74" s="446">
        <f>IFERROR(VLOOKUP($G74,#REF!,14,FALSE),0)</f>
        <v>0</v>
      </c>
      <c r="R74" s="592"/>
    </row>
    <row r="75" spans="1:18" x14ac:dyDescent="0.2">
      <c r="A75" s="427"/>
      <c r="B75" s="604"/>
      <c r="C75" s="420"/>
      <c r="D75" s="468"/>
      <c r="E75" s="420"/>
      <c r="F75" s="565">
        <f>インプット!$J$68</f>
        <v>0.16666666666666666</v>
      </c>
      <c r="G75" s="564" t="str">
        <f>インプット!$K$68</f>
        <v>不動産業</v>
      </c>
      <c r="H75" s="446">
        <f>IFERROR(VLOOKUP($G75,波及効果シート!$A$4:$Z$45,2,FALSE),0)</f>
        <v>7.9167875839825722E-2</v>
      </c>
      <c r="I75" s="446">
        <f>IFERROR(VLOOKUP($G75,波及効果シート!$A$4:$Z$45,3,FALSE),0)</f>
        <v>9.6499375705720467E-2</v>
      </c>
      <c r="J75" s="446">
        <f>IFERROR(VLOOKUP($G75,波及効果シート!$A$4:$Z$45,4,FALSE),0)</f>
        <v>1.9696991961051687E-2</v>
      </c>
      <c r="K75" s="446">
        <f>IFERROR(VLOOKUP($G75,波及効果シート!$A$4:$Z$45,5,FALSE),0)</f>
        <v>6.1459157879250855E-3</v>
      </c>
      <c r="L75" s="446">
        <f>IFERROR(VLOOKUP($G75,波及効果シート!$A$4:$Z$45,6,FALSE),0)</f>
        <v>6.60888218357608E-2</v>
      </c>
      <c r="M75" s="446">
        <f>IFERROR(VLOOKUP($G75,波及効果シート!$A$4:$Z$45,7,FALSE),0)</f>
        <v>4.9347003888949192E-2</v>
      </c>
      <c r="N75" s="446">
        <f>IFERROR(VLOOKUP($G75,波及効果シート!$A$4:$Z$45,8,FALSE),0)</f>
        <v>1.2322669099196383E-2</v>
      </c>
      <c r="O75" s="446">
        <f>IFERROR(VLOOKUP($G75,波及効果シート!$A$4:$Z$45,9,FALSE),0)</f>
        <v>4.651767332398811E-3</v>
      </c>
      <c r="P75" s="446">
        <f>IFERROR(VLOOKUP($G75,#REF!,13,FALSE),0)</f>
        <v>0</v>
      </c>
      <c r="Q75" s="446">
        <f>IFERROR(VLOOKUP($G75,#REF!,14,FALSE),0)</f>
        <v>0</v>
      </c>
      <c r="R75" s="592"/>
    </row>
    <row r="76" spans="1:18" x14ac:dyDescent="0.2">
      <c r="A76" s="427"/>
      <c r="B76" s="440"/>
      <c r="C76" s="440"/>
      <c r="D76" s="475"/>
      <c r="E76" s="440"/>
      <c r="F76" s="602">
        <f>1-SUM(F73:F75)</f>
        <v>0.5</v>
      </c>
      <c r="G76" s="603" t="s">
        <v>243</v>
      </c>
      <c r="H76" s="448"/>
      <c r="I76" s="448"/>
      <c r="J76" s="448"/>
      <c r="K76" s="448"/>
      <c r="L76" s="448"/>
      <c r="M76" s="448"/>
      <c r="N76" s="448"/>
      <c r="O76" s="448"/>
      <c r="P76" s="448"/>
      <c r="Q76" s="448"/>
      <c r="R76" s="592"/>
    </row>
    <row r="77" spans="1:18" x14ac:dyDescent="0.2">
      <c r="A77" s="427"/>
      <c r="B77" s="440" t="str">
        <f>インプット!B69</f>
        <v>＜その他・費目を入力＞</v>
      </c>
      <c r="C77" s="440"/>
      <c r="D77" s="470">
        <f>インプット!E69</f>
        <v>0</v>
      </c>
      <c r="E77" s="440" t="s">
        <v>245</v>
      </c>
      <c r="F77" s="563">
        <f>インプット!$F$69</f>
        <v>0</v>
      </c>
      <c r="G77" s="564">
        <f>インプット!$G$69</f>
        <v>0</v>
      </c>
      <c r="H77" s="446">
        <f>IFERROR(VLOOKUP($G77,波及効果シート!$A$4:$Z$45,2,FALSE),0)</f>
        <v>0</v>
      </c>
      <c r="I77" s="446">
        <f>IFERROR(VLOOKUP($G77,波及効果シート!$A$4:$Z$45,3,FALSE),0)</f>
        <v>0</v>
      </c>
      <c r="J77" s="446">
        <f>IFERROR(VLOOKUP($G77,波及効果シート!$A$4:$Z$45,4,FALSE),0)</f>
        <v>0</v>
      </c>
      <c r="K77" s="446">
        <f>IFERROR(VLOOKUP($G77,波及効果シート!$A$4:$Z$45,5,FALSE),0)</f>
        <v>0</v>
      </c>
      <c r="L77" s="446">
        <f>IFERROR(VLOOKUP($G77,波及効果シート!$A$4:$Z$45,6,FALSE),0)</f>
        <v>0</v>
      </c>
      <c r="M77" s="446">
        <f>IFERROR(VLOOKUP($G77,波及効果シート!$A$4:$Z$45,7,FALSE),0)</f>
        <v>0</v>
      </c>
      <c r="N77" s="446">
        <f>IFERROR(VLOOKUP($G77,波及効果シート!$A$4:$Z$45,8,FALSE),0)</f>
        <v>0</v>
      </c>
      <c r="O77" s="446">
        <f>IFERROR(VLOOKUP($G77,波及効果シート!$A$4:$Z$45,9,FALSE),0)</f>
        <v>0</v>
      </c>
      <c r="P77" s="446">
        <f>IFERROR(VLOOKUP($G77,#REF!,13,FALSE),0)</f>
        <v>0</v>
      </c>
      <c r="Q77" s="446">
        <f>IFERROR(VLOOKUP($G77,#REF!,14,FALSE),0)</f>
        <v>0</v>
      </c>
      <c r="R77" s="592"/>
    </row>
    <row r="78" spans="1:18" x14ac:dyDescent="0.2">
      <c r="A78" s="427"/>
      <c r="B78" s="420"/>
      <c r="C78" s="420"/>
      <c r="D78" s="568"/>
      <c r="E78" s="420"/>
      <c r="F78" s="565">
        <f>インプット!$H$69</f>
        <v>0</v>
      </c>
      <c r="G78" s="564">
        <f>インプット!$I$69</f>
        <v>0</v>
      </c>
      <c r="H78" s="446">
        <f>IFERROR(VLOOKUP($G78,波及効果シート!$A$4:$Z$45,2,FALSE),0)</f>
        <v>0</v>
      </c>
      <c r="I78" s="446">
        <f>IFERROR(VLOOKUP($G78,波及効果シート!$A$4:$Z$45,3,FALSE),0)</f>
        <v>0</v>
      </c>
      <c r="J78" s="446">
        <f>IFERROR(VLOOKUP($G78,波及効果シート!$A$4:$Z$45,4,FALSE),0)</f>
        <v>0</v>
      </c>
      <c r="K78" s="446">
        <f>IFERROR(VLOOKUP($G78,波及効果シート!$A$4:$Z$45,5,FALSE),0)</f>
        <v>0</v>
      </c>
      <c r="L78" s="446">
        <f>IFERROR(VLOOKUP($G78,波及効果シート!$A$4:$Z$45,6,FALSE),0)</f>
        <v>0</v>
      </c>
      <c r="M78" s="446">
        <f>IFERROR(VLOOKUP($G78,波及効果シート!$A$4:$Z$45,7,FALSE),0)</f>
        <v>0</v>
      </c>
      <c r="N78" s="446">
        <f>IFERROR(VLOOKUP($G78,波及効果シート!$A$4:$Z$45,8,FALSE),0)</f>
        <v>0</v>
      </c>
      <c r="O78" s="446">
        <f>IFERROR(VLOOKUP($G78,波及効果シート!$A$4:$Z$45,9,FALSE),0)</f>
        <v>0</v>
      </c>
      <c r="P78" s="446">
        <f>IFERROR(VLOOKUP($G78,#REF!,13,FALSE),0)</f>
        <v>0</v>
      </c>
      <c r="Q78" s="446">
        <f>IFERROR(VLOOKUP($G78,#REF!,14,FALSE),0)</f>
        <v>0</v>
      </c>
      <c r="R78" s="592"/>
    </row>
    <row r="79" spans="1:18" x14ac:dyDescent="0.2">
      <c r="A79" s="427"/>
      <c r="B79" s="604"/>
      <c r="C79" s="420"/>
      <c r="D79" s="468"/>
      <c r="E79" s="420"/>
      <c r="F79" s="565">
        <f>インプット!$J$69</f>
        <v>0</v>
      </c>
      <c r="G79" s="564">
        <f>インプット!$K$69</f>
        <v>0</v>
      </c>
      <c r="H79" s="446">
        <f>IFERROR(VLOOKUP($G79,波及効果シート!$A$4:$Z$45,2,FALSE),0)</f>
        <v>0</v>
      </c>
      <c r="I79" s="446">
        <f>IFERROR(VLOOKUP($G79,波及効果シート!$A$4:$Z$45,3,FALSE),0)</f>
        <v>0</v>
      </c>
      <c r="J79" s="446">
        <f>IFERROR(VLOOKUP($G79,波及効果シート!$A$4:$Z$45,4,FALSE),0)</f>
        <v>0</v>
      </c>
      <c r="K79" s="446">
        <f>IFERROR(VLOOKUP($G79,波及効果シート!$A$4:$Z$45,5,FALSE),0)</f>
        <v>0</v>
      </c>
      <c r="L79" s="446">
        <f>IFERROR(VLOOKUP($G79,波及効果シート!$A$4:$Z$45,6,FALSE),0)</f>
        <v>0</v>
      </c>
      <c r="M79" s="446">
        <f>IFERROR(VLOOKUP($G79,波及効果シート!$A$4:$Z$45,7,FALSE),0)</f>
        <v>0</v>
      </c>
      <c r="N79" s="446">
        <f>IFERROR(VLOOKUP($G79,波及効果シート!$A$4:$Z$45,8,FALSE),0)</f>
        <v>0</v>
      </c>
      <c r="O79" s="446">
        <f>IFERROR(VLOOKUP($G79,波及効果シート!$A$4:$Z$45,9,FALSE),0)</f>
        <v>0</v>
      </c>
      <c r="P79" s="446">
        <f>IFERROR(VLOOKUP($G79,#REF!,13,FALSE),0)</f>
        <v>0</v>
      </c>
      <c r="Q79" s="446">
        <f>IFERROR(VLOOKUP($G79,#REF!,14,FALSE),0)</f>
        <v>0</v>
      </c>
      <c r="R79" s="592"/>
    </row>
    <row r="80" spans="1:18" x14ac:dyDescent="0.2">
      <c r="A80" s="427"/>
      <c r="B80" s="440"/>
      <c r="C80" s="440"/>
      <c r="D80" s="475"/>
      <c r="E80" s="440"/>
      <c r="F80" s="602">
        <f>1-SUM(F77:F79)</f>
        <v>1</v>
      </c>
      <c r="G80" s="603" t="s">
        <v>243</v>
      </c>
      <c r="H80" s="448"/>
      <c r="I80" s="448"/>
      <c r="J80" s="448"/>
      <c r="K80" s="448"/>
      <c r="L80" s="448"/>
      <c r="M80" s="448"/>
      <c r="N80" s="448"/>
      <c r="O80" s="448"/>
      <c r="P80" s="448"/>
      <c r="Q80" s="448"/>
      <c r="R80" s="592"/>
    </row>
    <row r="81" spans="1:19" x14ac:dyDescent="0.2">
      <c r="A81" s="427"/>
      <c r="B81" s="440" t="str">
        <f>インプット!B70</f>
        <v>＜その他・費目を入力＞</v>
      </c>
      <c r="C81" s="440"/>
      <c r="D81" s="470">
        <f>インプット!E70</f>
        <v>0</v>
      </c>
      <c r="E81" s="440" t="s">
        <v>245</v>
      </c>
      <c r="F81" s="563">
        <f>インプット!$F$70</f>
        <v>0</v>
      </c>
      <c r="G81" s="564">
        <f>インプット!$G$70</f>
        <v>0</v>
      </c>
      <c r="H81" s="446">
        <f>IFERROR(VLOOKUP($G81,波及効果シート!$A$4:$Z$45,2,FALSE),0)</f>
        <v>0</v>
      </c>
      <c r="I81" s="446">
        <f>IFERROR(VLOOKUP($G81,波及効果シート!$A$4:$Z$45,3,FALSE),0)</f>
        <v>0</v>
      </c>
      <c r="J81" s="446">
        <f>IFERROR(VLOOKUP($G81,波及効果シート!$A$4:$Z$45,4,FALSE),0)</f>
        <v>0</v>
      </c>
      <c r="K81" s="446">
        <f>IFERROR(VLOOKUP($G81,波及効果シート!$A$4:$Z$45,5,FALSE),0)</f>
        <v>0</v>
      </c>
      <c r="L81" s="446">
        <f>IFERROR(VLOOKUP($G81,波及効果シート!$A$4:$Z$45,6,FALSE),0)</f>
        <v>0</v>
      </c>
      <c r="M81" s="446">
        <f>IFERROR(VLOOKUP($G81,波及効果シート!$A$4:$Z$45,7,FALSE),0)</f>
        <v>0</v>
      </c>
      <c r="N81" s="446">
        <f>IFERROR(VLOOKUP($G81,波及効果シート!$A$4:$Z$45,8,FALSE),0)</f>
        <v>0</v>
      </c>
      <c r="O81" s="446">
        <f>IFERROR(VLOOKUP($G81,波及効果シート!$A$4:$Z$45,9,FALSE),0)</f>
        <v>0</v>
      </c>
      <c r="P81" s="446">
        <f>IFERROR(VLOOKUP($G81,#REF!,13,FALSE),0)</f>
        <v>0</v>
      </c>
      <c r="Q81" s="446">
        <f>IFERROR(VLOOKUP($G81,#REF!,14,FALSE),0)</f>
        <v>0</v>
      </c>
      <c r="R81" s="592"/>
    </row>
    <row r="82" spans="1:19" x14ac:dyDescent="0.2">
      <c r="A82" s="427"/>
      <c r="B82" s="420"/>
      <c r="C82" s="420"/>
      <c r="D82" s="568"/>
      <c r="E82" s="420"/>
      <c r="F82" s="565">
        <f>インプット!$H$70</f>
        <v>0</v>
      </c>
      <c r="G82" s="564">
        <f>インプット!$I$70</f>
        <v>0</v>
      </c>
      <c r="H82" s="446">
        <f>IFERROR(VLOOKUP($G82,波及効果シート!$A$4:$Z$45,2,FALSE),0)</f>
        <v>0</v>
      </c>
      <c r="I82" s="446">
        <f>IFERROR(VLOOKUP($G82,波及効果シート!$A$4:$Z$45,3,FALSE),0)</f>
        <v>0</v>
      </c>
      <c r="J82" s="446">
        <f>IFERROR(VLOOKUP($G82,波及効果シート!$A$4:$Z$45,4,FALSE),0)</f>
        <v>0</v>
      </c>
      <c r="K82" s="446">
        <f>IFERROR(VLOOKUP($G82,波及効果シート!$A$4:$Z$45,5,FALSE),0)</f>
        <v>0</v>
      </c>
      <c r="L82" s="446">
        <f>IFERROR(VLOOKUP($G82,波及効果シート!$A$4:$Z$45,6,FALSE),0)</f>
        <v>0</v>
      </c>
      <c r="M82" s="446">
        <f>IFERROR(VLOOKUP($G82,波及効果シート!$A$4:$Z$45,7,FALSE),0)</f>
        <v>0</v>
      </c>
      <c r="N82" s="446">
        <f>IFERROR(VLOOKUP($G82,波及効果シート!$A$4:$Z$45,8,FALSE),0)</f>
        <v>0</v>
      </c>
      <c r="O82" s="446">
        <f>IFERROR(VLOOKUP($G82,波及効果シート!$A$4:$Z$45,9,FALSE),0)</f>
        <v>0</v>
      </c>
      <c r="P82" s="446">
        <f>IFERROR(VLOOKUP($G82,#REF!,13,FALSE),0)</f>
        <v>0</v>
      </c>
      <c r="Q82" s="446">
        <f>IFERROR(VLOOKUP($G82,#REF!,14,FALSE),0)</f>
        <v>0</v>
      </c>
      <c r="R82" s="592"/>
    </row>
    <row r="83" spans="1:19" x14ac:dyDescent="0.2">
      <c r="A83" s="427"/>
      <c r="B83" s="604"/>
      <c r="C83" s="420"/>
      <c r="D83" s="468"/>
      <c r="E83" s="420"/>
      <c r="F83" s="565">
        <f>インプット!$J$70</f>
        <v>0</v>
      </c>
      <c r="G83" s="564">
        <f>インプット!$K$70</f>
        <v>0</v>
      </c>
      <c r="H83" s="446">
        <f>IFERROR(VLOOKUP($G83,波及効果シート!$A$4:$Z$45,2,FALSE),0)</f>
        <v>0</v>
      </c>
      <c r="I83" s="446">
        <f>IFERROR(VLOOKUP($G83,波及効果シート!$A$4:$Z$45,3,FALSE),0)</f>
        <v>0</v>
      </c>
      <c r="J83" s="446">
        <f>IFERROR(VLOOKUP($G83,波及効果シート!$A$4:$Z$45,4,FALSE),0)</f>
        <v>0</v>
      </c>
      <c r="K83" s="446">
        <f>IFERROR(VLOOKUP($G83,波及効果シート!$A$4:$Z$45,5,FALSE),0)</f>
        <v>0</v>
      </c>
      <c r="L83" s="446">
        <f>IFERROR(VLOOKUP($G83,波及効果シート!$A$4:$Z$45,6,FALSE),0)</f>
        <v>0</v>
      </c>
      <c r="M83" s="446">
        <f>IFERROR(VLOOKUP($G83,波及効果シート!$A$4:$Z$45,7,FALSE),0)</f>
        <v>0</v>
      </c>
      <c r="N83" s="446">
        <f>IFERROR(VLOOKUP($G83,波及効果シート!$A$4:$Z$45,8,FALSE),0)</f>
        <v>0</v>
      </c>
      <c r="O83" s="446">
        <f>IFERROR(VLOOKUP($G83,波及効果シート!$A$4:$Z$45,9,FALSE),0)</f>
        <v>0</v>
      </c>
      <c r="P83" s="446">
        <f>IFERROR(VLOOKUP($G83,#REF!,13,FALSE),0)</f>
        <v>0</v>
      </c>
      <c r="Q83" s="446">
        <f>IFERROR(VLOOKUP($G83,#REF!,14,FALSE),0)</f>
        <v>0</v>
      </c>
      <c r="R83" s="592"/>
    </row>
    <row r="84" spans="1:19" x14ac:dyDescent="0.2">
      <c r="A84" s="427"/>
      <c r="B84" s="440"/>
      <c r="C84" s="440"/>
      <c r="D84" s="475"/>
      <c r="E84" s="440"/>
      <c r="F84" s="602">
        <f>1-SUM(F81:F83)</f>
        <v>1</v>
      </c>
      <c r="G84" s="603" t="s">
        <v>243</v>
      </c>
      <c r="H84" s="448"/>
      <c r="I84" s="448"/>
      <c r="J84" s="448"/>
      <c r="K84" s="448"/>
      <c r="L84" s="448"/>
      <c r="M84" s="448"/>
      <c r="N84" s="448"/>
      <c r="O84" s="448"/>
      <c r="P84" s="448"/>
      <c r="Q84" s="448"/>
      <c r="R84" s="592"/>
    </row>
    <row r="85" spans="1:19" x14ac:dyDescent="0.2">
      <c r="A85" s="428" t="s">
        <v>209</v>
      </c>
      <c r="B85" s="440" t="s">
        <v>210</v>
      </c>
      <c r="C85" s="440"/>
      <c r="D85" s="569" t="s">
        <v>276</v>
      </c>
      <c r="E85" s="440" t="s">
        <v>245</v>
      </c>
      <c r="F85" s="563">
        <f>IFERROR(入門編_計算シート!K49/SUM(入門編_計算シート!K49,入門編_計算シート!K52),0)</f>
        <v>1</v>
      </c>
      <c r="G85" s="564" t="s">
        <v>860</v>
      </c>
      <c r="H85" s="446">
        <f>IFERROR(VLOOKUP($G85,波及効果シート!$A$4:$Z$45,2,FALSE),0)</f>
        <v>0.10067253448714489</v>
      </c>
      <c r="I85" s="446">
        <f>IFERROR(VLOOKUP($G85,波及効果シート!$A$4:$Z$45,3,FALSE),0)</f>
        <v>0.14928294292181132</v>
      </c>
      <c r="J85" s="446">
        <f>IFERROR(VLOOKUP($G85,波及効果シート!$A$4:$Z$45,4,FALSE),0)</f>
        <v>2.855518845328571E-2</v>
      </c>
      <c r="K85" s="446">
        <f>IFERROR(VLOOKUP($G85,波及効果シート!$A$4:$Z$45,5,FALSE),0)</f>
        <v>8.2229884774487685E-3</v>
      </c>
      <c r="L85" s="446">
        <f>IFERROR(VLOOKUP($G85,波及効果シート!$A$4:$Z$45,6,FALSE),0)</f>
        <v>4.1839375741372815E-2</v>
      </c>
      <c r="M85" s="446">
        <f>IFERROR(VLOOKUP($G85,波及効果シート!$A$4:$Z$45,7,FALSE),0)</f>
        <v>4.9287993801380846E-2</v>
      </c>
      <c r="N85" s="446">
        <f>IFERROR(VLOOKUP($G85,波及効果シート!$A$4:$Z$45,8,FALSE),0)</f>
        <v>1.0183782788526033E-2</v>
      </c>
      <c r="O85" s="446">
        <f>IFERROR(VLOOKUP($G85,波及効果シート!$A$4:$Z$45,9,FALSE),0)</f>
        <v>3.2218034179981453E-3</v>
      </c>
      <c r="P85" s="446">
        <f>IFERROR(VLOOKUP($G85,#REF!,13,FALSE),0)</f>
        <v>0</v>
      </c>
      <c r="Q85" s="446">
        <f>IFERROR(VLOOKUP($G85,#REF!,14,FALSE),0)</f>
        <v>0</v>
      </c>
      <c r="R85" s="592"/>
    </row>
    <row r="86" spans="1:19" x14ac:dyDescent="0.2">
      <c r="A86" s="428"/>
      <c r="B86" s="420"/>
      <c r="C86" s="420"/>
      <c r="D86" s="471"/>
      <c r="E86" s="420"/>
      <c r="F86" s="565">
        <f>インプット!$H$73</f>
        <v>0</v>
      </c>
      <c r="G86" s="564">
        <f>インプット!$I$73</f>
        <v>0</v>
      </c>
      <c r="H86" s="446">
        <f>IFERROR(VLOOKUP($G86,波及効果シート!$A$4:$Z$45,2,FALSE),0)</f>
        <v>0</v>
      </c>
      <c r="I86" s="446">
        <f>IFERROR(VLOOKUP($G86,波及効果シート!$A$4:$Z$45,3,FALSE),0)</f>
        <v>0</v>
      </c>
      <c r="J86" s="446">
        <f>IFERROR(VLOOKUP($G86,波及効果シート!$A$4:$Z$45,4,FALSE),0)</f>
        <v>0</v>
      </c>
      <c r="K86" s="446">
        <f>IFERROR(VLOOKUP($G86,波及効果シート!$A$4:$Z$45,5,FALSE),0)</f>
        <v>0</v>
      </c>
      <c r="L86" s="446">
        <f>IFERROR(VLOOKUP($G86,波及効果シート!$A$4:$Z$45,6,FALSE),0)</f>
        <v>0</v>
      </c>
      <c r="M86" s="446">
        <f>IFERROR(VLOOKUP($G86,波及効果シート!$A$4:$Z$45,7,FALSE),0)</f>
        <v>0</v>
      </c>
      <c r="N86" s="446">
        <f>IFERROR(VLOOKUP($G86,波及効果シート!$A$4:$Z$45,8,FALSE),0)</f>
        <v>0</v>
      </c>
      <c r="O86" s="446">
        <f>IFERROR(VLOOKUP($G86,波及効果シート!$A$4:$Z$45,9,FALSE),0)</f>
        <v>0</v>
      </c>
      <c r="P86" s="446">
        <f>IFERROR(VLOOKUP($G86,#REF!,13,FALSE),0)</f>
        <v>0</v>
      </c>
      <c r="Q86" s="446">
        <f>IFERROR(VLOOKUP($G86,#REF!,14,FALSE),0)</f>
        <v>0</v>
      </c>
      <c r="R86" s="592"/>
    </row>
    <row r="87" spans="1:19" x14ac:dyDescent="0.2">
      <c r="A87" s="428"/>
      <c r="B87" s="455"/>
      <c r="C87" s="420"/>
      <c r="D87" s="468"/>
      <c r="E87" s="420"/>
      <c r="F87" s="565">
        <f>インプット!$J$73</f>
        <v>0</v>
      </c>
      <c r="G87" s="564">
        <f>インプット!$K$73</f>
        <v>0</v>
      </c>
      <c r="H87" s="446">
        <f>IFERROR(VLOOKUP($G87,波及効果シート!$A$4:$Z$45,2,FALSE),0)</f>
        <v>0</v>
      </c>
      <c r="I87" s="446">
        <f>IFERROR(VLOOKUP($G87,波及効果シート!$A$4:$Z$45,3,FALSE),0)</f>
        <v>0</v>
      </c>
      <c r="J87" s="446">
        <f>IFERROR(VLOOKUP($G87,波及効果シート!$A$4:$Z$45,4,FALSE),0)</f>
        <v>0</v>
      </c>
      <c r="K87" s="446">
        <f>IFERROR(VLOOKUP($G87,波及効果シート!$A$4:$Z$45,5,FALSE),0)</f>
        <v>0</v>
      </c>
      <c r="L87" s="446">
        <f>IFERROR(VLOOKUP($G87,波及効果シート!$A$4:$Z$45,6,FALSE),0)</f>
        <v>0</v>
      </c>
      <c r="M87" s="446">
        <f>IFERROR(VLOOKUP($G87,波及効果シート!$A$4:$Z$45,7,FALSE),0)</f>
        <v>0</v>
      </c>
      <c r="N87" s="446">
        <f>IFERROR(VLOOKUP($G87,波及効果シート!$A$4:$Z$45,8,FALSE),0)</f>
        <v>0</v>
      </c>
      <c r="O87" s="446">
        <f>IFERROR(VLOOKUP($G87,波及効果シート!$A$4:$Z$45,9,FALSE),0)</f>
        <v>0</v>
      </c>
      <c r="P87" s="446">
        <f>IFERROR(VLOOKUP($G87,#REF!,13,FALSE),0)</f>
        <v>0</v>
      </c>
      <c r="Q87" s="446">
        <f>IFERROR(VLOOKUP($G87,#REF!,14,FALSE),0)</f>
        <v>0</v>
      </c>
      <c r="R87" s="592"/>
    </row>
    <row r="88" spans="1:19" x14ac:dyDescent="0.2">
      <c r="A88" s="428"/>
      <c r="B88" s="440"/>
      <c r="C88" s="440"/>
      <c r="D88" s="475"/>
      <c r="E88" s="440"/>
      <c r="F88" s="602">
        <f>1-SUM(F85:F87)</f>
        <v>0</v>
      </c>
      <c r="G88" s="603" t="s">
        <v>243</v>
      </c>
      <c r="H88" s="448"/>
      <c r="I88" s="448"/>
      <c r="J88" s="448"/>
      <c r="K88" s="448"/>
      <c r="L88" s="448"/>
      <c r="M88" s="448"/>
      <c r="N88" s="448"/>
      <c r="O88" s="448"/>
      <c r="P88" s="448"/>
      <c r="Q88" s="448"/>
      <c r="R88" s="592"/>
    </row>
    <row r="89" spans="1:19" x14ac:dyDescent="0.2">
      <c r="A89" s="428"/>
      <c r="B89" s="440" t="s">
        <v>47</v>
      </c>
      <c r="C89" s="440"/>
      <c r="D89" s="526" t="s">
        <v>276</v>
      </c>
      <c r="E89" s="440"/>
      <c r="F89" s="440"/>
      <c r="G89" s="440"/>
      <c r="H89" s="449">
        <f>IFERROR(HLOOKUP($G89,#REF!,2,FALSE),0)</f>
        <v>0</v>
      </c>
      <c r="I89" s="449">
        <f>IFERROR(HLOOKUP($G89,#REF!,3,FALSE),0)</f>
        <v>0</v>
      </c>
      <c r="J89" s="449">
        <f>IFERROR(HLOOKUP($G89,#REF!,4,FALSE),0)</f>
        <v>0</v>
      </c>
      <c r="K89" s="449">
        <f>IFERROR(HLOOKUP($G89,#REF!,5,FALSE),0)</f>
        <v>0</v>
      </c>
      <c r="L89" s="449">
        <f>IFERROR(HLOOKUP($G89,#REF!,6,FALSE),0)</f>
        <v>0</v>
      </c>
      <c r="M89" s="449">
        <f>IFERROR(HLOOKUP($G89,#REF!,7,FALSE),0)</f>
        <v>0</v>
      </c>
      <c r="N89" s="449">
        <f>IFERROR(HLOOKUP($G89,#REF!,8,FALSE),0)</f>
        <v>0</v>
      </c>
      <c r="O89" s="449">
        <f>IFERROR(HLOOKUP($G89,#REF!,9,FALSE),0)</f>
        <v>0</v>
      </c>
      <c r="P89" s="446">
        <f>IFERROR(VLOOKUP($G89,#REF!,13,FALSE),0)</f>
        <v>0</v>
      </c>
      <c r="Q89" s="446">
        <f>IFERROR(VLOOKUP($G89,#REF!,14,FALSE),0)</f>
        <v>0</v>
      </c>
      <c r="R89" s="592"/>
    </row>
    <row r="90" spans="1:19" x14ac:dyDescent="0.2">
      <c r="A90" s="428"/>
      <c r="B90" s="420"/>
      <c r="C90" s="420"/>
      <c r="D90" s="471"/>
      <c r="E90" s="420"/>
      <c r="F90" s="420"/>
      <c r="G90" s="420"/>
      <c r="H90" s="447">
        <f>IFERROR(HLOOKUP($G90,#REF!,2,FALSE),0)</f>
        <v>0</v>
      </c>
      <c r="I90" s="447">
        <f>IFERROR(HLOOKUP($G90,#REF!,3,FALSE),0)</f>
        <v>0</v>
      </c>
      <c r="J90" s="447">
        <f>IFERROR(HLOOKUP($G90,#REF!,4,FALSE),0)</f>
        <v>0</v>
      </c>
      <c r="K90" s="447">
        <f>IFERROR(HLOOKUP($G90,#REF!,5,FALSE),0)</f>
        <v>0</v>
      </c>
      <c r="L90" s="447">
        <f>IFERROR(HLOOKUP($G90,#REF!,6,FALSE),0)</f>
        <v>0</v>
      </c>
      <c r="M90" s="447">
        <f>IFERROR(HLOOKUP($G90,#REF!,7,FALSE),0)</f>
        <v>0</v>
      </c>
      <c r="N90" s="447">
        <f>IFERROR(HLOOKUP($G90,#REF!,8,FALSE),0)</f>
        <v>0</v>
      </c>
      <c r="O90" s="447">
        <f>IFERROR(HLOOKUP($G90,#REF!,9,FALSE),0)</f>
        <v>0</v>
      </c>
      <c r="P90" s="446">
        <f>IFERROR(VLOOKUP($G90,#REF!,13,FALSE),0)</f>
        <v>0</v>
      </c>
      <c r="Q90" s="446">
        <f>IFERROR(VLOOKUP($G90,#REF!,14,FALSE),0)</f>
        <v>0</v>
      </c>
      <c r="R90" s="592"/>
    </row>
    <row r="91" spans="1:19" x14ac:dyDescent="0.2">
      <c r="A91" s="428"/>
      <c r="B91" s="455"/>
      <c r="C91" s="420"/>
      <c r="D91" s="468"/>
      <c r="E91" s="420"/>
      <c r="F91" s="420"/>
      <c r="G91" s="420"/>
      <c r="H91" s="447">
        <f>IFERROR(HLOOKUP($G91,#REF!,2,FALSE),0)</f>
        <v>0</v>
      </c>
      <c r="I91" s="447">
        <f>IFERROR(HLOOKUP($G91,#REF!,3,FALSE),0)</f>
        <v>0</v>
      </c>
      <c r="J91" s="447">
        <f>IFERROR(HLOOKUP($G91,#REF!,4,FALSE),0)</f>
        <v>0</v>
      </c>
      <c r="K91" s="447">
        <f>IFERROR(HLOOKUP($G91,#REF!,5,FALSE),0)</f>
        <v>0</v>
      </c>
      <c r="L91" s="447">
        <f>IFERROR(HLOOKUP($G91,#REF!,6,FALSE),0)</f>
        <v>0</v>
      </c>
      <c r="M91" s="447">
        <f>IFERROR(HLOOKUP($G91,#REF!,7,FALSE),0)</f>
        <v>0</v>
      </c>
      <c r="N91" s="447">
        <f>IFERROR(HLOOKUP($G91,#REF!,8,FALSE),0)</f>
        <v>0</v>
      </c>
      <c r="O91" s="447">
        <f>IFERROR(HLOOKUP($G91,#REF!,9,FALSE),0)</f>
        <v>0</v>
      </c>
      <c r="P91" s="446">
        <f>IFERROR(VLOOKUP($G91,#REF!,13,FALSE),0)</f>
        <v>0</v>
      </c>
      <c r="Q91" s="446">
        <f>IFERROR(VLOOKUP($G91,#REF!,14,FALSE),0)</f>
        <v>0</v>
      </c>
      <c r="R91" s="592"/>
    </row>
    <row r="92" spans="1:19" x14ac:dyDescent="0.2">
      <c r="A92" s="428"/>
      <c r="B92" s="440"/>
      <c r="C92" s="440"/>
      <c r="D92" s="475"/>
      <c r="E92" s="440"/>
      <c r="F92" s="440"/>
      <c r="G92" s="440"/>
      <c r="H92" s="448"/>
      <c r="I92" s="448"/>
      <c r="J92" s="448"/>
      <c r="K92" s="448"/>
      <c r="L92" s="448"/>
      <c r="M92" s="448"/>
      <c r="N92" s="448"/>
      <c r="O92" s="448"/>
      <c r="P92" s="448"/>
      <c r="Q92" s="448"/>
      <c r="R92" s="592"/>
    </row>
    <row r="93" spans="1:19" x14ac:dyDescent="0.2">
      <c r="A93" s="428"/>
      <c r="B93" s="436" t="s">
        <v>213</v>
      </c>
      <c r="C93" s="436"/>
      <c r="D93" s="470"/>
      <c r="E93" s="440" t="s">
        <v>245</v>
      </c>
      <c r="F93" s="563">
        <f>インプット!$F$73</f>
        <v>0.25</v>
      </c>
      <c r="G93" s="564" t="str">
        <f>インプット!$G$73</f>
        <v>はん用機械器具製造業</v>
      </c>
      <c r="H93" s="450">
        <f>IFERROR(HLOOKUP($G93,#REF!,2,FALSE),0)</f>
        <v>0</v>
      </c>
      <c r="I93" s="450">
        <f>IFERROR(HLOOKUP($G93,#REF!,3,FALSE),0)</f>
        <v>0</v>
      </c>
      <c r="J93" s="450">
        <f>IFERROR(HLOOKUP($G93,#REF!,4,FALSE),0)</f>
        <v>0</v>
      </c>
      <c r="K93" s="450">
        <f>IFERROR(HLOOKUP($G93,#REF!,5,FALSE),0)</f>
        <v>0</v>
      </c>
      <c r="L93" s="450">
        <f>IFERROR(HLOOKUP($G93,#REF!,6,FALSE),0)</f>
        <v>0</v>
      </c>
      <c r="M93" s="450">
        <f>IFERROR(HLOOKUP($G93,#REF!,7,FALSE),0)</f>
        <v>0</v>
      </c>
      <c r="N93" s="450">
        <f>IFERROR(HLOOKUP($G93,#REF!,8,FALSE),0)</f>
        <v>0</v>
      </c>
      <c r="O93" s="450">
        <f>IFERROR(HLOOKUP($G93,#REF!,9,FALSE),0)</f>
        <v>0</v>
      </c>
      <c r="P93" s="446">
        <f>IFERROR(VLOOKUP($G93,#REF!,13,FALSE),0)</f>
        <v>0</v>
      </c>
      <c r="Q93" s="446">
        <f>IFERROR(VLOOKUP($G93,#REF!,14,FALSE),0)</f>
        <v>0</v>
      </c>
      <c r="R93" s="592"/>
      <c r="S93" s="421"/>
    </row>
    <row r="94" spans="1:19" x14ac:dyDescent="0.2">
      <c r="A94" s="428"/>
      <c r="B94" s="420"/>
      <c r="C94" s="420"/>
      <c r="D94" s="471" t="s">
        <v>242</v>
      </c>
      <c r="E94" s="420"/>
      <c r="F94" s="565">
        <f>インプット!$H$73</f>
        <v>0</v>
      </c>
      <c r="G94" s="564">
        <f>インプット!$I$73</f>
        <v>0</v>
      </c>
      <c r="H94" s="447">
        <f>IFERROR(HLOOKUP($G94,#REF!,2,FALSE),0)</f>
        <v>0</v>
      </c>
      <c r="I94" s="447">
        <f>IFERROR(HLOOKUP($G94,#REF!,3,FALSE),0)</f>
        <v>0</v>
      </c>
      <c r="J94" s="447">
        <f>IFERROR(HLOOKUP($G94,#REF!,4,FALSE),0)</f>
        <v>0</v>
      </c>
      <c r="K94" s="447">
        <f>IFERROR(HLOOKUP($G94,#REF!,5,FALSE),0)</f>
        <v>0</v>
      </c>
      <c r="L94" s="447">
        <f>IFERROR(HLOOKUP($G94,#REF!,6,FALSE),0)</f>
        <v>0</v>
      </c>
      <c r="M94" s="447">
        <f>IFERROR(HLOOKUP($G94,#REF!,7,FALSE),0)</f>
        <v>0</v>
      </c>
      <c r="N94" s="447">
        <f>IFERROR(HLOOKUP($G94,#REF!,8,FALSE),0)</f>
        <v>0</v>
      </c>
      <c r="O94" s="447">
        <f>IFERROR(HLOOKUP($G94,#REF!,9,FALSE),0)</f>
        <v>0</v>
      </c>
      <c r="P94" s="446">
        <f>IFERROR(VLOOKUP($G94,#REF!,13,FALSE),0)</f>
        <v>0</v>
      </c>
      <c r="Q94" s="446">
        <f>IFERROR(VLOOKUP($G94,#REF!,14,FALSE),0)</f>
        <v>0</v>
      </c>
      <c r="R94" s="591"/>
    </row>
    <row r="95" spans="1:19" x14ac:dyDescent="0.2">
      <c r="A95" s="428"/>
      <c r="B95" s="455"/>
      <c r="C95" s="420"/>
      <c r="D95" s="468"/>
      <c r="E95" s="420"/>
      <c r="F95" s="565">
        <f>インプット!$J$73</f>
        <v>0</v>
      </c>
      <c r="G95" s="564">
        <f>インプット!$K$73</f>
        <v>0</v>
      </c>
      <c r="H95" s="447">
        <f>IFERROR(HLOOKUP($G95,#REF!,2,FALSE),0)</f>
        <v>0</v>
      </c>
      <c r="I95" s="447">
        <f>IFERROR(HLOOKUP($G95,#REF!,3,FALSE),0)</f>
        <v>0</v>
      </c>
      <c r="J95" s="447">
        <f>IFERROR(HLOOKUP($G95,#REF!,4,FALSE),0)</f>
        <v>0</v>
      </c>
      <c r="K95" s="447">
        <f>IFERROR(HLOOKUP($G95,#REF!,5,FALSE),0)</f>
        <v>0</v>
      </c>
      <c r="L95" s="447">
        <f>IFERROR(HLOOKUP($G95,#REF!,6,FALSE),0)</f>
        <v>0</v>
      </c>
      <c r="M95" s="447">
        <f>IFERROR(HLOOKUP($G95,#REF!,7,FALSE),0)</f>
        <v>0</v>
      </c>
      <c r="N95" s="447">
        <f>IFERROR(HLOOKUP($G95,#REF!,8,FALSE),0)</f>
        <v>0</v>
      </c>
      <c r="O95" s="447">
        <f>IFERROR(HLOOKUP($G95,#REF!,9,FALSE),0)</f>
        <v>0</v>
      </c>
      <c r="P95" s="446">
        <f>IFERROR(VLOOKUP($G95,#REF!,13,FALSE),0)</f>
        <v>0</v>
      </c>
      <c r="Q95" s="446">
        <f>IFERROR(VLOOKUP($G95,#REF!,14,FALSE),0)</f>
        <v>0</v>
      </c>
      <c r="R95" s="591"/>
      <c r="S95" s="429"/>
    </row>
    <row r="96" spans="1:19" x14ac:dyDescent="0.2">
      <c r="F96" s="602">
        <f>1-SUM(F93:F95)</f>
        <v>0.75</v>
      </c>
      <c r="G96" s="603" t="s">
        <v>243</v>
      </c>
      <c r="R96" s="591"/>
    </row>
    <row r="97" spans="18:24" x14ac:dyDescent="0.2">
      <c r="R97" s="591"/>
      <c r="S97" s="431"/>
    </row>
    <row r="98" spans="18:24" x14ac:dyDescent="0.2">
      <c r="R98" s="591"/>
    </row>
    <row r="99" spans="18:24" ht="12" x14ac:dyDescent="0.2">
      <c r="R99" s="591"/>
      <c r="X99" s="432"/>
    </row>
    <row r="100" spans="18:24" x14ac:dyDescent="0.2">
      <c r="R100" s="591"/>
    </row>
    <row r="101" spans="18:24" x14ac:dyDescent="0.2">
      <c r="R101" s="591"/>
    </row>
    <row r="102" spans="18:24" x14ac:dyDescent="0.2">
      <c r="R102" s="591"/>
    </row>
    <row r="103" spans="18:24" x14ac:dyDescent="0.2">
      <c r="R103" s="591"/>
    </row>
    <row r="104" spans="18:24" x14ac:dyDescent="0.2">
      <c r="R104" s="591"/>
    </row>
    <row r="105" spans="18:24" x14ac:dyDescent="0.2">
      <c r="R105" s="591"/>
    </row>
    <row r="106" spans="18:24" x14ac:dyDescent="0.2">
      <c r="R106" s="591"/>
    </row>
    <row r="107" spans="18:24" x14ac:dyDescent="0.2">
      <c r="R107" s="591"/>
    </row>
    <row r="108" spans="18:24" x14ac:dyDescent="0.2">
      <c r="R108" s="591"/>
    </row>
    <row r="109" spans="18:24" x14ac:dyDescent="0.2">
      <c r="R109" s="591"/>
    </row>
    <row r="110" spans="18:24" x14ac:dyDescent="0.2">
      <c r="R110" s="591"/>
    </row>
    <row r="111" spans="18:24" x14ac:dyDescent="0.2">
      <c r="R111" s="591"/>
    </row>
    <row r="112" spans="18:24" x14ac:dyDescent="0.2">
      <c r="R112" s="591"/>
    </row>
    <row r="113" spans="18:18" x14ac:dyDescent="0.2">
      <c r="R113" s="591"/>
    </row>
    <row r="114" spans="18:18" x14ac:dyDescent="0.2">
      <c r="R114" s="591"/>
    </row>
    <row r="115" spans="18:18" x14ac:dyDescent="0.2">
      <c r="R115" s="591"/>
    </row>
    <row r="116" spans="18:18" x14ac:dyDescent="0.2">
      <c r="R116" s="591"/>
    </row>
    <row r="117" spans="18:18" x14ac:dyDescent="0.2">
      <c r="R117" s="591"/>
    </row>
    <row r="118" spans="18:18" x14ac:dyDescent="0.2">
      <c r="R118" s="591"/>
    </row>
    <row r="119" spans="18:18" x14ac:dyDescent="0.2">
      <c r="R119" s="591"/>
    </row>
    <row r="120" spans="18:18" x14ac:dyDescent="0.2">
      <c r="R120" s="591"/>
    </row>
    <row r="121" spans="18:18" x14ac:dyDescent="0.2">
      <c r="R121" s="591"/>
    </row>
    <row r="122" spans="18:18" x14ac:dyDescent="0.2">
      <c r="R122" s="591"/>
    </row>
    <row r="123" spans="18:18" x14ac:dyDescent="0.2">
      <c r="R123" s="591"/>
    </row>
    <row r="124" spans="18:18" x14ac:dyDescent="0.2">
      <c r="R124" s="591"/>
    </row>
    <row r="125" spans="18:18" x14ac:dyDescent="0.2">
      <c r="R125" s="591"/>
    </row>
    <row r="126" spans="18:18" x14ac:dyDescent="0.2">
      <c r="R126" s="591"/>
    </row>
  </sheetData>
  <sheetProtection password="B437" sheet="1" objects="1" scenarios="1"/>
  <dataConsolidate/>
  <mergeCells count="3">
    <mergeCell ref="H3:K3"/>
    <mergeCell ref="L3:O3"/>
    <mergeCell ref="P3:Q3"/>
  </mergeCells>
  <phoneticPr fontId="4"/>
  <dataValidations disablePrompts="1" count="1">
    <dataValidation type="list" allowBlank="1" showInputMessage="1" showErrorMessage="1" sqref="G5:G6">
      <formula1>S$5:S$14</formula1>
    </dataValidation>
  </dataValidations>
  <pageMargins left="0.7" right="0.7" top="0.75" bottom="0.75" header="0.3" footer="0.3"/>
  <pageSetup paperSize="8" scale="50" fitToHeight="0" orientation="portrait" horizontalDpi="1200" verticalDpi="1200" r:id="rId1"/>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M250"/>
  <sheetViews>
    <sheetView topLeftCell="A188" workbookViewId="0">
      <selection activeCell="J256" sqref="J256"/>
    </sheetView>
  </sheetViews>
  <sheetFormatPr defaultColWidth="9" defaultRowHeight="12.5" x14ac:dyDescent="0.25"/>
  <cols>
    <col min="1" max="1" width="6.90625" style="10" customWidth="1"/>
    <col min="2" max="2" width="42.6328125" style="10" bestFit="1" customWidth="1"/>
    <col min="3" max="3" width="17" style="10" customWidth="1"/>
    <col min="4" max="24" width="15.453125" style="4" customWidth="1"/>
    <col min="25" max="34" width="15.453125" style="10" customWidth="1"/>
    <col min="35" max="35" width="17.36328125" style="10" customWidth="1"/>
    <col min="36" max="47" width="11.6328125" style="10" customWidth="1"/>
    <col min="48" max="16384" width="9" style="10"/>
  </cols>
  <sheetData>
    <row r="1" spans="1:37" ht="13" x14ac:dyDescent="0.3">
      <c r="A1" s="207" t="s">
        <v>376</v>
      </c>
      <c r="B1" s="5"/>
      <c r="C1" s="6"/>
      <c r="E1" s="7"/>
      <c r="F1" s="7"/>
      <c r="G1" s="7"/>
      <c r="I1" s="8"/>
      <c r="K1" s="9"/>
      <c r="L1" s="9"/>
    </row>
    <row r="2" spans="1:37" s="258" customFormat="1" ht="14" x14ac:dyDescent="0.2">
      <c r="A2" s="254" t="s">
        <v>102</v>
      </c>
      <c r="B2" s="255"/>
      <c r="C2" s="256"/>
      <c r="D2" s="256"/>
      <c r="E2" s="256"/>
      <c r="F2" s="256"/>
      <c r="G2" s="256"/>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row>
    <row r="3" spans="1:37" ht="13.5" thickBot="1" x14ac:dyDescent="0.35">
      <c r="D3" s="10"/>
      <c r="E3" s="7"/>
      <c r="F3" s="7"/>
      <c r="G3" s="7"/>
      <c r="I3" s="8"/>
      <c r="K3" s="9"/>
      <c r="L3" s="9"/>
    </row>
    <row r="4" spans="1:37" ht="13" x14ac:dyDescent="0.3">
      <c r="B4" s="1352" t="s">
        <v>9</v>
      </c>
      <c r="C4" s="1353"/>
      <c r="D4" s="11" t="s">
        <v>377</v>
      </c>
      <c r="E4" s="11" t="s">
        <v>378</v>
      </c>
      <c r="F4" s="11" t="s">
        <v>379</v>
      </c>
      <c r="G4" s="11" t="s">
        <v>380</v>
      </c>
      <c r="H4" s="11" t="s">
        <v>381</v>
      </c>
      <c r="I4" s="11" t="s">
        <v>382</v>
      </c>
      <c r="J4" s="11" t="s">
        <v>383</v>
      </c>
      <c r="K4" s="11" t="s">
        <v>384</v>
      </c>
      <c r="L4" s="11" t="s">
        <v>385</v>
      </c>
      <c r="M4" s="11" t="s">
        <v>386</v>
      </c>
      <c r="N4" s="11" t="s">
        <v>387</v>
      </c>
      <c r="O4" s="11" t="s">
        <v>388</v>
      </c>
      <c r="P4" s="11" t="s">
        <v>389</v>
      </c>
      <c r="Q4" s="11" t="s">
        <v>390</v>
      </c>
      <c r="R4" s="11" t="s">
        <v>391</v>
      </c>
      <c r="S4" s="11" t="s">
        <v>392</v>
      </c>
      <c r="T4" s="11" t="s">
        <v>393</v>
      </c>
      <c r="U4" s="11" t="s">
        <v>394</v>
      </c>
      <c r="V4" s="11" t="s">
        <v>395</v>
      </c>
      <c r="W4" s="11" t="s">
        <v>396</v>
      </c>
      <c r="X4" s="11" t="s">
        <v>397</v>
      </c>
      <c r="Y4" s="11" t="s">
        <v>398</v>
      </c>
      <c r="Z4" s="11" t="s">
        <v>399</v>
      </c>
      <c r="AA4" s="11" t="s">
        <v>400</v>
      </c>
      <c r="AB4" s="11" t="s">
        <v>401</v>
      </c>
      <c r="AC4" s="11" t="s">
        <v>402</v>
      </c>
      <c r="AD4" s="11" t="s">
        <v>403</v>
      </c>
      <c r="AE4" s="11" t="s">
        <v>404</v>
      </c>
      <c r="AF4" s="11" t="s">
        <v>405</v>
      </c>
      <c r="AG4" s="11" t="s">
        <v>406</v>
      </c>
      <c r="AH4" s="12" t="s">
        <v>407</v>
      </c>
    </row>
    <row r="5" spans="1:37" ht="13" x14ac:dyDescent="0.3">
      <c r="B5" s="352" t="s">
        <v>164</v>
      </c>
      <c r="C5" s="350"/>
      <c r="D5" s="351"/>
      <c r="E5" s="353">
        <f>インプット!$E$13*インプット!$E$12/365/24</f>
        <v>0.90410958904109595</v>
      </c>
      <c r="F5" s="353">
        <f>インプット!$E$13*インプット!$E$12/365/24</f>
        <v>0.90410958904109595</v>
      </c>
      <c r="G5" s="353">
        <f>インプット!$E$13*インプット!$E$12/365/24</f>
        <v>0.90410958904109595</v>
      </c>
      <c r="H5" s="353">
        <f>インプット!$E$13*インプット!$E$12/365/24</f>
        <v>0.90410958904109595</v>
      </c>
      <c r="I5" s="353">
        <f>インプット!$E$13*インプット!$E$12/365/24</f>
        <v>0.90410958904109595</v>
      </c>
      <c r="J5" s="353">
        <f>インプット!$E$13*インプット!$E$12/365/24</f>
        <v>0.90410958904109595</v>
      </c>
      <c r="K5" s="353">
        <f>インプット!$E$13*インプット!$E$12/365/24</f>
        <v>0.90410958904109595</v>
      </c>
      <c r="L5" s="353">
        <f>インプット!$E$13*インプット!$E$12/365/24</f>
        <v>0.90410958904109595</v>
      </c>
      <c r="M5" s="353">
        <f>インプット!$E$13*インプット!$E$12/365/24</f>
        <v>0.90410958904109595</v>
      </c>
      <c r="N5" s="353">
        <f>インプット!$E$13*インプット!$E$12/365/24</f>
        <v>0.90410958904109595</v>
      </c>
      <c r="O5" s="353">
        <f>インプット!$E$13*インプット!$E$12/365/24</f>
        <v>0.90410958904109595</v>
      </c>
      <c r="P5" s="353">
        <f>インプット!$E$13*インプット!$E$12/365/24</f>
        <v>0.90410958904109595</v>
      </c>
      <c r="Q5" s="353">
        <f>インプット!$E$13*インプット!$E$12/365/24</f>
        <v>0.90410958904109595</v>
      </c>
      <c r="R5" s="353">
        <f>インプット!$E$13*インプット!$E$12/365/24</f>
        <v>0.90410958904109595</v>
      </c>
      <c r="S5" s="353">
        <f>インプット!$E$13*インプット!$E$12/365/24</f>
        <v>0.90410958904109595</v>
      </c>
      <c r="T5" s="353">
        <f>インプット!$E$13*インプット!$E$12/365/24</f>
        <v>0.90410958904109595</v>
      </c>
      <c r="U5" s="353">
        <f>インプット!$E$13*インプット!$E$12/365/24</f>
        <v>0.90410958904109595</v>
      </c>
      <c r="V5" s="353">
        <f>インプット!$E$13*インプット!$E$12/365/24</f>
        <v>0.90410958904109595</v>
      </c>
      <c r="W5" s="353">
        <f>インプット!$E$13*インプット!$E$12/365/24</f>
        <v>0.90410958904109595</v>
      </c>
      <c r="X5" s="353">
        <f>インプット!$E$13*インプット!$E$12/365/24</f>
        <v>0.90410958904109595</v>
      </c>
      <c r="Y5" s="353">
        <f>インプット!$E$13*インプット!$E$12/365/24</f>
        <v>0.90410958904109595</v>
      </c>
      <c r="Z5" s="353">
        <f>インプット!$E$13*インプット!$E$12/365/24</f>
        <v>0.90410958904109595</v>
      </c>
      <c r="AA5" s="353">
        <f>インプット!$E$13*インプット!$E$12/365/24</f>
        <v>0.90410958904109595</v>
      </c>
      <c r="AB5" s="353">
        <f>インプット!$E$13*インプット!$E$12/365/24</f>
        <v>0.90410958904109595</v>
      </c>
      <c r="AC5" s="353">
        <f>インプット!$E$13*インプット!$E$12/365/24</f>
        <v>0.90410958904109595</v>
      </c>
      <c r="AD5" s="353">
        <f>インプット!$E$13*インプット!$E$12/365/24</f>
        <v>0.90410958904109595</v>
      </c>
      <c r="AE5" s="353">
        <f>インプット!$E$13*インプット!$E$12/365/24</f>
        <v>0.90410958904109595</v>
      </c>
      <c r="AF5" s="353">
        <f>インプット!$E$13*インプット!$E$12/365/24</f>
        <v>0.90410958904109595</v>
      </c>
      <c r="AG5" s="353">
        <f>インプット!$E$13*インプット!$E$12/365/24</f>
        <v>0.90410958904109595</v>
      </c>
      <c r="AH5" s="354">
        <f>インプット!$E$13*インプット!$E$12/365/24</f>
        <v>0.90410958904109595</v>
      </c>
    </row>
    <row r="6" spans="1:37" x14ac:dyDescent="0.25">
      <c r="B6" s="15" t="s">
        <v>31</v>
      </c>
      <c r="C6" s="14" t="s">
        <v>43</v>
      </c>
      <c r="D6" s="17"/>
      <c r="E6" s="17">
        <f>インプット!$E$15</f>
        <v>15</v>
      </c>
      <c r="F6" s="17">
        <f>インプット!$E$15</f>
        <v>15</v>
      </c>
      <c r="G6" s="17">
        <f>インプット!$E$15</f>
        <v>15</v>
      </c>
      <c r="H6" s="17">
        <f>インプット!$E$15</f>
        <v>15</v>
      </c>
      <c r="I6" s="17">
        <f>インプット!$E$15</f>
        <v>15</v>
      </c>
      <c r="J6" s="17">
        <f>インプット!$E$15</f>
        <v>15</v>
      </c>
      <c r="K6" s="17">
        <f>インプット!$E$15</f>
        <v>15</v>
      </c>
      <c r="L6" s="17">
        <f>インプット!$E$15</f>
        <v>15</v>
      </c>
      <c r="M6" s="17">
        <f>インプット!$E$15</f>
        <v>15</v>
      </c>
      <c r="N6" s="17">
        <f>インプット!$E$15</f>
        <v>15</v>
      </c>
      <c r="O6" s="17">
        <f>インプット!$E$15</f>
        <v>15</v>
      </c>
      <c r="P6" s="17">
        <f>インプット!$E$15</f>
        <v>15</v>
      </c>
      <c r="Q6" s="17">
        <f>インプット!$E$15</f>
        <v>15</v>
      </c>
      <c r="R6" s="17">
        <f>インプット!$E$15</f>
        <v>15</v>
      </c>
      <c r="S6" s="17">
        <f>インプット!$E$15</f>
        <v>15</v>
      </c>
      <c r="T6" s="17">
        <f>インプット!$E$15</f>
        <v>15</v>
      </c>
      <c r="U6" s="17">
        <f>インプット!$E$15</f>
        <v>15</v>
      </c>
      <c r="V6" s="17">
        <f>インプット!$E$15</f>
        <v>15</v>
      </c>
      <c r="W6" s="17">
        <f>インプット!$E$15</f>
        <v>15</v>
      </c>
      <c r="X6" s="17">
        <f>インプット!$E$15</f>
        <v>15</v>
      </c>
      <c r="Y6" s="17">
        <f>インプット!$E$15</f>
        <v>15</v>
      </c>
      <c r="Z6" s="17">
        <f>インプット!$E$15</f>
        <v>15</v>
      </c>
      <c r="AA6" s="17">
        <f>インプット!$E$15</f>
        <v>15</v>
      </c>
      <c r="AB6" s="17">
        <f>インプット!$E$15</f>
        <v>15</v>
      </c>
      <c r="AC6" s="17">
        <f>インプット!$E$15</f>
        <v>15</v>
      </c>
      <c r="AD6" s="17">
        <f>インプット!$E$15</f>
        <v>15</v>
      </c>
      <c r="AE6" s="17">
        <f>インプット!$E$15</f>
        <v>15</v>
      </c>
      <c r="AF6" s="17">
        <f>インプット!$E$15</f>
        <v>15</v>
      </c>
      <c r="AG6" s="17">
        <f>インプット!$E$15</f>
        <v>15</v>
      </c>
      <c r="AH6" s="117">
        <f>インプット!$E$15</f>
        <v>15</v>
      </c>
    </row>
    <row r="7" spans="1:37" x14ac:dyDescent="0.25">
      <c r="B7" s="15" t="s">
        <v>434</v>
      </c>
      <c r="C7" s="14" t="s">
        <v>43</v>
      </c>
      <c r="D7" s="103"/>
      <c r="E7" s="103">
        <f>インプット!$E$16</f>
        <v>0</v>
      </c>
      <c r="F7" s="103">
        <f>インプット!$E$16</f>
        <v>0</v>
      </c>
      <c r="G7" s="103">
        <f>インプット!$E$16</f>
        <v>0</v>
      </c>
      <c r="H7" s="103">
        <f>インプット!$E$16</f>
        <v>0</v>
      </c>
      <c r="I7" s="103">
        <f>インプット!$E$16</f>
        <v>0</v>
      </c>
      <c r="J7" s="103">
        <f>インプット!$E$16</f>
        <v>0</v>
      </c>
      <c r="K7" s="103">
        <f>インプット!$E$16</f>
        <v>0</v>
      </c>
      <c r="L7" s="103">
        <f>インプット!$E$16</f>
        <v>0</v>
      </c>
      <c r="M7" s="103">
        <f>インプット!$E$16</f>
        <v>0</v>
      </c>
      <c r="N7" s="103">
        <f>インプット!$E$16</f>
        <v>0</v>
      </c>
      <c r="O7" s="103">
        <f>インプット!$E$16</f>
        <v>0</v>
      </c>
      <c r="P7" s="103">
        <f>インプット!$E$16</f>
        <v>0</v>
      </c>
      <c r="Q7" s="103">
        <f>インプット!$E$16</f>
        <v>0</v>
      </c>
      <c r="R7" s="103">
        <f>インプット!$E$16</f>
        <v>0</v>
      </c>
      <c r="S7" s="103">
        <f>インプット!$E$16</f>
        <v>0</v>
      </c>
      <c r="T7" s="103">
        <f>インプット!$E$16</f>
        <v>0</v>
      </c>
      <c r="U7" s="103">
        <f>インプット!$E$16</f>
        <v>0</v>
      </c>
      <c r="V7" s="103">
        <f>インプット!$E$16</f>
        <v>0</v>
      </c>
      <c r="W7" s="103">
        <f>インプット!$E$16</f>
        <v>0</v>
      </c>
      <c r="X7" s="103">
        <f>インプット!$E$16</f>
        <v>0</v>
      </c>
      <c r="Y7" s="103">
        <f>インプット!$E$16</f>
        <v>0</v>
      </c>
      <c r="Z7" s="103">
        <f>インプット!$E$16</f>
        <v>0</v>
      </c>
      <c r="AA7" s="103">
        <f>インプット!$E$16</f>
        <v>0</v>
      </c>
      <c r="AB7" s="103">
        <f>インプット!$E$16</f>
        <v>0</v>
      </c>
      <c r="AC7" s="103">
        <f>インプット!$E$16</f>
        <v>0</v>
      </c>
      <c r="AD7" s="103">
        <f>インプット!$E$16</f>
        <v>0</v>
      </c>
      <c r="AE7" s="103">
        <f>インプット!$E$16</f>
        <v>0</v>
      </c>
      <c r="AF7" s="103">
        <f>インプット!$E$16</f>
        <v>0</v>
      </c>
      <c r="AG7" s="103">
        <f>インプット!$E$16</f>
        <v>0</v>
      </c>
      <c r="AH7" s="301">
        <f>インプット!$E$16</f>
        <v>0</v>
      </c>
    </row>
    <row r="8" spans="1:37" x14ac:dyDescent="0.25">
      <c r="B8" s="13" t="str">
        <f>インプット!$B59</f>
        <v>薬剤・消耗品費用</v>
      </c>
      <c r="C8" s="364" t="s">
        <v>37</v>
      </c>
      <c r="D8" s="18"/>
      <c r="E8" s="18">
        <f>インプット!$E59*E$5/入力条件の変換!$B$114</f>
        <v>57525830.544324234</v>
      </c>
      <c r="F8" s="18">
        <f>インプット!$E59*F$5/入力条件の変換!$B$114</f>
        <v>57525830.544324234</v>
      </c>
      <c r="G8" s="18">
        <f>インプット!$E59*G$5/入力条件の変換!$B$114</f>
        <v>57525830.544324234</v>
      </c>
      <c r="H8" s="18">
        <f>インプット!$E59*H$5/入力条件の変換!$B$114</f>
        <v>57525830.544324234</v>
      </c>
      <c r="I8" s="18">
        <f>インプット!$E59*I$5/入力条件の変換!$B$114</f>
        <v>57525830.544324234</v>
      </c>
      <c r="J8" s="18">
        <f>インプット!$E59*J$5/入力条件の変換!$B$114</f>
        <v>57525830.544324234</v>
      </c>
      <c r="K8" s="18">
        <f>インプット!$E59*K$5/入力条件の変換!$B$114</f>
        <v>57525830.544324234</v>
      </c>
      <c r="L8" s="18">
        <f>インプット!$E59*L$5/入力条件の変換!$B$114</f>
        <v>57525830.544324234</v>
      </c>
      <c r="M8" s="18">
        <f>インプット!$E59*M$5/入力条件の変換!$B$114</f>
        <v>57525830.544324234</v>
      </c>
      <c r="N8" s="18">
        <f>インプット!$E59*N$5/入力条件の変換!$B$114</f>
        <v>57525830.544324234</v>
      </c>
      <c r="O8" s="18">
        <f>インプット!$E59*O$5/入力条件の変換!$B$114</f>
        <v>57525830.544324234</v>
      </c>
      <c r="P8" s="18">
        <f>インプット!$E59*P$5/入力条件の変換!$B$114</f>
        <v>57525830.544324234</v>
      </c>
      <c r="Q8" s="87">
        <f>インプット!$E59*Q$5/入力条件の変換!$B$114</f>
        <v>57525830.544324234</v>
      </c>
      <c r="R8" s="18">
        <f>インプット!$E59*R$5/入力条件の変換!$B$114</f>
        <v>57525830.544324234</v>
      </c>
      <c r="S8" s="18">
        <f>インプット!$E59*S$5/入力条件の変換!$B$114</f>
        <v>57525830.544324234</v>
      </c>
      <c r="T8" s="18">
        <f>インプット!$E59*T$5/入力条件の変換!$B$114</f>
        <v>57525830.544324234</v>
      </c>
      <c r="U8" s="18">
        <f>インプット!$E59*U$5/入力条件の変換!$B$114</f>
        <v>57525830.544324234</v>
      </c>
      <c r="V8" s="18">
        <f>インプット!$E59*V$5/入力条件の変換!$B$114</f>
        <v>57525830.544324234</v>
      </c>
      <c r="W8" s="18">
        <f>インプット!$E59*W$5/入力条件の変換!$B$114</f>
        <v>57525830.544324234</v>
      </c>
      <c r="X8" s="18">
        <f>インプット!$E59*X$5/入力条件の変換!$B$114</f>
        <v>57525830.544324234</v>
      </c>
      <c r="Y8" s="18">
        <f>インプット!$E59*Y$5/入力条件の変換!$B$114</f>
        <v>57525830.544324234</v>
      </c>
      <c r="Z8" s="18">
        <f>インプット!$E59*Z$5/入力条件の変換!$B$114</f>
        <v>57525830.544324234</v>
      </c>
      <c r="AA8" s="18">
        <f>インプット!$E59*AA$5/入力条件の変換!$B$114</f>
        <v>57525830.544324234</v>
      </c>
      <c r="AB8" s="18">
        <f>インプット!$E59*AB$5/入力条件の変換!$B$114</f>
        <v>57525830.544324234</v>
      </c>
      <c r="AC8" s="18">
        <f>インプット!$E59*AC$5/入力条件の変換!$B$114</f>
        <v>57525830.544324234</v>
      </c>
      <c r="AD8" s="18">
        <f>インプット!$E59*AD$5/入力条件の変換!$B$114</f>
        <v>57525830.544324234</v>
      </c>
      <c r="AE8" s="18">
        <f>インプット!$E59*AE$5/入力条件の変換!$B$114</f>
        <v>57525830.544324234</v>
      </c>
      <c r="AF8" s="18">
        <f>インプット!$E59*AF$5/入力条件の変換!$B$114</f>
        <v>57525830.544324234</v>
      </c>
      <c r="AG8" s="18">
        <f>インプット!$E59*AG$5/入力条件の変換!$B$114</f>
        <v>57525830.544324234</v>
      </c>
      <c r="AH8" s="118">
        <f>インプット!$E59*AH$5/入力条件の変換!$B$114</f>
        <v>57525830.544324234</v>
      </c>
    </row>
    <row r="9" spans="1:37" x14ac:dyDescent="0.25">
      <c r="B9" s="13" t="str">
        <f>インプット!$B60</f>
        <v>ユーティリティー費用</v>
      </c>
      <c r="C9" s="364" t="s">
        <v>37</v>
      </c>
      <c r="D9" s="18"/>
      <c r="E9" s="18">
        <f>インプット!$E60*E$5/入力条件の変換!$B$114</f>
        <v>24653927.376138959</v>
      </c>
      <c r="F9" s="18">
        <f>インプット!$E60*F$5/入力条件の変換!$B$114</f>
        <v>24653927.376138959</v>
      </c>
      <c r="G9" s="18">
        <f>インプット!$E60*G$5/入力条件の変換!$B$114</f>
        <v>24653927.376138959</v>
      </c>
      <c r="H9" s="18">
        <f>インプット!$E60*H$5/入力条件の変換!$B$114</f>
        <v>24653927.376138959</v>
      </c>
      <c r="I9" s="18">
        <f>インプット!$E60*I$5/入力条件の変換!$B$114</f>
        <v>24653927.376138959</v>
      </c>
      <c r="J9" s="18">
        <f>インプット!$E60*J$5/入力条件の変換!$B$114</f>
        <v>24653927.376138959</v>
      </c>
      <c r="K9" s="18">
        <f>インプット!$E60*K$5/入力条件の変換!$B$114</f>
        <v>24653927.376138959</v>
      </c>
      <c r="L9" s="18">
        <f>インプット!$E60*L$5/入力条件の変換!$B$114</f>
        <v>24653927.376138959</v>
      </c>
      <c r="M9" s="18">
        <f>インプット!$E60*M$5/入力条件の変換!$B$114</f>
        <v>24653927.376138959</v>
      </c>
      <c r="N9" s="18">
        <f>インプット!$E60*N$5/入力条件の変換!$B$114</f>
        <v>24653927.376138959</v>
      </c>
      <c r="O9" s="18">
        <f>インプット!$E60*O$5/入力条件の変換!$B$114</f>
        <v>24653927.376138959</v>
      </c>
      <c r="P9" s="18">
        <f>インプット!$E60*P$5/入力条件の変換!$B$114</f>
        <v>24653927.376138959</v>
      </c>
      <c r="Q9" s="87">
        <f>インプット!$E60*Q$5/入力条件の変換!$B$114</f>
        <v>24653927.376138959</v>
      </c>
      <c r="R9" s="18">
        <f>インプット!$E60*R$5/入力条件の変換!$B$114</f>
        <v>24653927.376138959</v>
      </c>
      <c r="S9" s="18">
        <f>インプット!$E60*S$5/入力条件の変換!$B$114</f>
        <v>24653927.376138959</v>
      </c>
      <c r="T9" s="18">
        <f>インプット!$E60*T$5/入力条件の変換!$B$114</f>
        <v>24653927.376138959</v>
      </c>
      <c r="U9" s="18">
        <f>インプット!$E60*U$5/入力条件の変換!$B$114</f>
        <v>24653927.376138959</v>
      </c>
      <c r="V9" s="18">
        <f>インプット!$E60*V$5/入力条件の変換!$B$114</f>
        <v>24653927.376138959</v>
      </c>
      <c r="W9" s="18">
        <f>インプット!$E60*W$5/入力条件の変換!$B$114</f>
        <v>24653927.376138959</v>
      </c>
      <c r="X9" s="18">
        <f>インプット!$E60*X$5/入力条件の変換!$B$114</f>
        <v>24653927.376138959</v>
      </c>
      <c r="Y9" s="18">
        <f>インプット!$E60*Y$5/入力条件の変換!$B$114</f>
        <v>24653927.376138959</v>
      </c>
      <c r="Z9" s="18">
        <f>インプット!$E60*Z$5/入力条件の変換!$B$114</f>
        <v>24653927.376138959</v>
      </c>
      <c r="AA9" s="18">
        <f>インプット!$E60*AA$5/入力条件の変換!$B$114</f>
        <v>24653927.376138959</v>
      </c>
      <c r="AB9" s="18">
        <f>インプット!$E60*AB$5/入力条件の変換!$B$114</f>
        <v>24653927.376138959</v>
      </c>
      <c r="AC9" s="18">
        <f>インプット!$E60*AC$5/入力条件の変換!$B$114</f>
        <v>24653927.376138959</v>
      </c>
      <c r="AD9" s="18">
        <f>インプット!$E60*AD$5/入力条件の変換!$B$114</f>
        <v>24653927.376138959</v>
      </c>
      <c r="AE9" s="18">
        <f>インプット!$E60*AE$5/入力条件の変換!$B$114</f>
        <v>24653927.376138959</v>
      </c>
      <c r="AF9" s="18">
        <f>インプット!$E60*AF$5/入力条件の変換!$B$114</f>
        <v>24653927.376138959</v>
      </c>
      <c r="AG9" s="18">
        <f>インプット!$E60*AG$5/入力条件の変換!$B$114</f>
        <v>24653927.376138959</v>
      </c>
      <c r="AH9" s="118">
        <f>インプット!$E60*AH$5/入力条件の変換!$B$114</f>
        <v>24653927.376138959</v>
      </c>
    </row>
    <row r="10" spans="1:37" x14ac:dyDescent="0.25">
      <c r="B10" s="13" t="str">
        <f>インプット!$B61</f>
        <v>＜その他・費目を入力＞</v>
      </c>
      <c r="C10" s="364" t="s">
        <v>37</v>
      </c>
      <c r="D10" s="342"/>
      <c r="E10" s="342">
        <f>インプット!$E61*E$5/入力条件の変換!$B$114</f>
        <v>0</v>
      </c>
      <c r="F10" s="342">
        <f>インプット!$E61*F$5/入力条件の変換!$B$114</f>
        <v>0</v>
      </c>
      <c r="G10" s="342">
        <f>インプット!$E61*G$5/入力条件の変換!$B$114</f>
        <v>0</v>
      </c>
      <c r="H10" s="342">
        <f>インプット!$E61*H$5/入力条件の変換!$B$114</f>
        <v>0</v>
      </c>
      <c r="I10" s="342">
        <f>インプット!$E61*I$5/入力条件の変換!$B$114</f>
        <v>0</v>
      </c>
      <c r="J10" s="342">
        <f>インプット!$E61*J$5/入力条件の変換!$B$114</f>
        <v>0</v>
      </c>
      <c r="K10" s="342">
        <f>インプット!$E61*K$5/入力条件の変換!$B$114</f>
        <v>0</v>
      </c>
      <c r="L10" s="342">
        <f>インプット!$E61*L$5/入力条件の変換!$B$114</f>
        <v>0</v>
      </c>
      <c r="M10" s="342">
        <f>インプット!$E61*M$5/入力条件の変換!$B$114</f>
        <v>0</v>
      </c>
      <c r="N10" s="342">
        <f>インプット!$E61*N$5/入力条件の変換!$B$114</f>
        <v>0</v>
      </c>
      <c r="O10" s="342">
        <f>インプット!$E61*O$5/入力条件の変換!$B$114</f>
        <v>0</v>
      </c>
      <c r="P10" s="342">
        <f>インプット!$E61*P$5/入力条件の変換!$B$114</f>
        <v>0</v>
      </c>
      <c r="Q10" s="343">
        <f>インプット!$E61*Q$5/入力条件の変換!$B$114</f>
        <v>0</v>
      </c>
      <c r="R10" s="342">
        <f>インプット!$E61*R$5/入力条件の変換!$B$114</f>
        <v>0</v>
      </c>
      <c r="S10" s="342">
        <f>インプット!$E61*S$5/入力条件の変換!$B$114</f>
        <v>0</v>
      </c>
      <c r="T10" s="342">
        <f>インプット!$E61*T$5/入力条件の変換!$B$114</f>
        <v>0</v>
      </c>
      <c r="U10" s="342">
        <f>インプット!$E61*U$5/入力条件の変換!$B$114</f>
        <v>0</v>
      </c>
      <c r="V10" s="342">
        <f>インプット!$E61*V$5/入力条件の変換!$B$114</f>
        <v>0</v>
      </c>
      <c r="W10" s="342">
        <f>インプット!$E61*W$5/入力条件の変換!$B$114</f>
        <v>0</v>
      </c>
      <c r="X10" s="342">
        <f>インプット!$E61*X$5/入力条件の変換!$B$114</f>
        <v>0</v>
      </c>
      <c r="Y10" s="342">
        <f>インプット!$E61*Y$5/入力条件の変換!$B$114</f>
        <v>0</v>
      </c>
      <c r="Z10" s="342">
        <f>インプット!$E61*Z$5/入力条件の変換!$B$114</f>
        <v>0</v>
      </c>
      <c r="AA10" s="342">
        <f>インプット!$E61*AA$5/入力条件の変換!$B$114</f>
        <v>0</v>
      </c>
      <c r="AB10" s="342">
        <f>インプット!$E61*AB$5/入力条件の変換!$B$114</f>
        <v>0</v>
      </c>
      <c r="AC10" s="342">
        <f>インプット!$E61*AC$5/入力条件の変換!$B$114</f>
        <v>0</v>
      </c>
      <c r="AD10" s="342">
        <f>インプット!$E61*AD$5/入力条件の変換!$B$114</f>
        <v>0</v>
      </c>
      <c r="AE10" s="342">
        <f>インプット!$E61*AE$5/入力条件の変換!$B$114</f>
        <v>0</v>
      </c>
      <c r="AF10" s="342">
        <f>インプット!$E61*AF$5/入力条件の変換!$B$114</f>
        <v>0</v>
      </c>
      <c r="AG10" s="342">
        <f>インプット!$E61*AG$5/入力条件の変換!$B$114</f>
        <v>0</v>
      </c>
      <c r="AH10" s="344">
        <f>インプット!$E61*AH$5/入力条件の変換!$B$114</f>
        <v>0</v>
      </c>
      <c r="AI10" s="19"/>
      <c r="AK10" s="20"/>
    </row>
    <row r="11" spans="1:37" x14ac:dyDescent="0.25">
      <c r="B11" s="363" t="str">
        <f>インプット!$B62</f>
        <v>＜その他・費目を入力＞</v>
      </c>
      <c r="C11" s="364" t="s">
        <v>177</v>
      </c>
      <c r="D11" s="342"/>
      <c r="E11" s="342">
        <f>インプット!$E62*E$5/入力条件の変換!$B$114</f>
        <v>0</v>
      </c>
      <c r="F11" s="342">
        <f>インプット!$E62*F$5/入力条件の変換!$B$114</f>
        <v>0</v>
      </c>
      <c r="G11" s="342">
        <f>インプット!$E62*G$5/入力条件の変換!$B$114</f>
        <v>0</v>
      </c>
      <c r="H11" s="342">
        <f>インプット!$E62*H$5/入力条件の変換!$B$114</f>
        <v>0</v>
      </c>
      <c r="I11" s="342">
        <f>インプット!$E62*I$5/入力条件の変換!$B$114</f>
        <v>0</v>
      </c>
      <c r="J11" s="342">
        <f>インプット!$E62*J$5/入力条件の変換!$B$114</f>
        <v>0</v>
      </c>
      <c r="K11" s="342">
        <f>インプット!$E62*K$5/入力条件の変換!$B$114</f>
        <v>0</v>
      </c>
      <c r="L11" s="342">
        <f>インプット!$E62*L$5/入力条件の変換!$B$114</f>
        <v>0</v>
      </c>
      <c r="M11" s="342">
        <f>インプット!$E62*M$5/入力条件の変換!$B$114</f>
        <v>0</v>
      </c>
      <c r="N11" s="342">
        <f>インプット!$E62*N$5/入力条件の変換!$B$114</f>
        <v>0</v>
      </c>
      <c r="O11" s="342">
        <f>インプット!$E62*O$5/入力条件の変換!$B$114</f>
        <v>0</v>
      </c>
      <c r="P11" s="342">
        <f>インプット!$E62*P$5/入力条件の変換!$B$114</f>
        <v>0</v>
      </c>
      <c r="Q11" s="343">
        <f>インプット!$E62*Q$5/入力条件の変換!$B$114</f>
        <v>0</v>
      </c>
      <c r="R11" s="342">
        <f>インプット!$E62*R$5/入力条件の変換!$B$114</f>
        <v>0</v>
      </c>
      <c r="S11" s="342">
        <f>インプット!$E62*S$5/入力条件の変換!$B$114</f>
        <v>0</v>
      </c>
      <c r="T11" s="342">
        <f>インプット!$E62*T$5/入力条件の変換!$B$114</f>
        <v>0</v>
      </c>
      <c r="U11" s="342">
        <f>インプット!$E62*U$5/入力条件の変換!$B$114</f>
        <v>0</v>
      </c>
      <c r="V11" s="342">
        <f>インプット!$E62*V$5/入力条件の変換!$B$114</f>
        <v>0</v>
      </c>
      <c r="W11" s="342">
        <f>インプット!$E62*W$5/入力条件の変換!$B$114</f>
        <v>0</v>
      </c>
      <c r="X11" s="342">
        <f>インプット!$E62*X$5/入力条件の変換!$B$114</f>
        <v>0</v>
      </c>
      <c r="Y11" s="342">
        <f>インプット!$E62*Y$5/入力条件の変換!$B$114</f>
        <v>0</v>
      </c>
      <c r="Z11" s="342">
        <f>インプット!$E62*Z$5/入力条件の変換!$B$114</f>
        <v>0</v>
      </c>
      <c r="AA11" s="342">
        <f>インプット!$E62*AA$5/入力条件の変換!$B$114</f>
        <v>0</v>
      </c>
      <c r="AB11" s="342">
        <f>インプット!$E62*AB$5/入力条件の変換!$B$114</f>
        <v>0</v>
      </c>
      <c r="AC11" s="342">
        <f>インプット!$E62*AC$5/入力条件の変換!$B$114</f>
        <v>0</v>
      </c>
      <c r="AD11" s="342">
        <f>インプット!$E62*AD$5/入力条件の変換!$B$114</f>
        <v>0</v>
      </c>
      <c r="AE11" s="342">
        <f>インプット!$E62*AE$5/入力条件の変換!$B$114</f>
        <v>0</v>
      </c>
      <c r="AF11" s="342">
        <f>インプット!$E62*AF$5/入力条件の変換!$B$114</f>
        <v>0</v>
      </c>
      <c r="AG11" s="342">
        <f>インプット!$E62*AG$5/入力条件の変換!$B$114</f>
        <v>0</v>
      </c>
      <c r="AH11" s="344">
        <f>インプット!$E62*AH$5/入力条件の変換!$B$114</f>
        <v>0</v>
      </c>
      <c r="AI11" s="19"/>
      <c r="AK11" s="20"/>
    </row>
    <row r="12" spans="1:37" x14ac:dyDescent="0.25">
      <c r="B12" s="363" t="str">
        <f>インプット!$B63</f>
        <v>＜その他・費目を入力＞</v>
      </c>
      <c r="C12" s="364" t="s">
        <v>177</v>
      </c>
      <c r="D12" s="342"/>
      <c r="E12" s="342">
        <f>インプット!$E63*E$5/入力条件の変換!$B$114</f>
        <v>0</v>
      </c>
      <c r="F12" s="342">
        <f>インプット!$E63*F$5/入力条件の変換!$B$114</f>
        <v>0</v>
      </c>
      <c r="G12" s="342">
        <f>インプット!$E63*G$5/入力条件の変換!$B$114</f>
        <v>0</v>
      </c>
      <c r="H12" s="342">
        <f>インプット!$E63*H$5/入力条件の変換!$B$114</f>
        <v>0</v>
      </c>
      <c r="I12" s="342">
        <f>インプット!$E63*I$5/入力条件の変換!$B$114</f>
        <v>0</v>
      </c>
      <c r="J12" s="342">
        <f>インプット!$E63*J$5/入力条件の変換!$B$114</f>
        <v>0</v>
      </c>
      <c r="K12" s="342">
        <f>インプット!$E63*K$5/入力条件の変換!$B$114</f>
        <v>0</v>
      </c>
      <c r="L12" s="342">
        <f>インプット!$E63*L$5/入力条件の変換!$B$114</f>
        <v>0</v>
      </c>
      <c r="M12" s="342">
        <f>インプット!$E63*M$5/入力条件の変換!$B$114</f>
        <v>0</v>
      </c>
      <c r="N12" s="342">
        <f>インプット!$E63*N$5/入力条件の変換!$B$114</f>
        <v>0</v>
      </c>
      <c r="O12" s="342">
        <f>インプット!$E63*O$5/入力条件の変換!$B$114</f>
        <v>0</v>
      </c>
      <c r="P12" s="342">
        <f>インプット!$E63*P$5/入力条件の変換!$B$114</f>
        <v>0</v>
      </c>
      <c r="Q12" s="343">
        <f>インプット!$E63*Q$5/入力条件の変換!$B$114</f>
        <v>0</v>
      </c>
      <c r="R12" s="342">
        <f>インプット!$E63*R$5/入力条件の変換!$B$114</f>
        <v>0</v>
      </c>
      <c r="S12" s="342">
        <f>インプット!$E63*S$5/入力条件の変換!$B$114</f>
        <v>0</v>
      </c>
      <c r="T12" s="342">
        <f>インプット!$E63*T$5/入力条件の変換!$B$114</f>
        <v>0</v>
      </c>
      <c r="U12" s="342">
        <f>インプット!$E63*U$5/入力条件の変換!$B$114</f>
        <v>0</v>
      </c>
      <c r="V12" s="342">
        <f>インプット!$E63*V$5/入力条件の変換!$B$114</f>
        <v>0</v>
      </c>
      <c r="W12" s="342">
        <f>インプット!$E63*W$5/入力条件の変換!$B$114</f>
        <v>0</v>
      </c>
      <c r="X12" s="342">
        <f>インプット!$E63*X$5/入力条件の変換!$B$114</f>
        <v>0</v>
      </c>
      <c r="Y12" s="342">
        <f>インプット!$E63*Y$5/入力条件の変換!$B$114</f>
        <v>0</v>
      </c>
      <c r="Z12" s="342">
        <f>インプット!$E63*Z$5/入力条件の変換!$B$114</f>
        <v>0</v>
      </c>
      <c r="AA12" s="342">
        <f>インプット!$E63*AA$5/入力条件の変換!$B$114</f>
        <v>0</v>
      </c>
      <c r="AB12" s="342">
        <f>インプット!$E63*AB$5/入力条件の変換!$B$114</f>
        <v>0</v>
      </c>
      <c r="AC12" s="342">
        <f>インプット!$E63*AC$5/入力条件の変換!$B$114</f>
        <v>0</v>
      </c>
      <c r="AD12" s="342">
        <f>インプット!$E63*AD$5/入力条件の変換!$B$114</f>
        <v>0</v>
      </c>
      <c r="AE12" s="342">
        <f>インプット!$E63*AE$5/入力条件の変換!$B$114</f>
        <v>0</v>
      </c>
      <c r="AF12" s="342">
        <f>インプット!$E63*AF$5/入力条件の変換!$B$114</f>
        <v>0</v>
      </c>
      <c r="AG12" s="342">
        <f>インプット!$E63*AG$5/入力条件の変換!$B$114</f>
        <v>0</v>
      </c>
      <c r="AH12" s="344">
        <f>インプット!$E63*AH$5/入力条件の変換!$B$114</f>
        <v>0</v>
      </c>
      <c r="AI12" s="19"/>
      <c r="AK12" s="20"/>
    </row>
    <row r="13" spans="1:37" ht="13" thickBot="1" x14ac:dyDescent="0.3">
      <c r="B13" s="362" t="str">
        <f>インプット!$B64</f>
        <v>＜その他・費目を入力＞</v>
      </c>
      <c r="C13" s="364" t="s">
        <v>177</v>
      </c>
      <c r="D13" s="342"/>
      <c r="E13" s="342">
        <f>インプット!$E64*E$5/入力条件の変換!$B$114</f>
        <v>0</v>
      </c>
      <c r="F13" s="342">
        <f>インプット!$E64*F$5/入力条件の変換!$B$114</f>
        <v>0</v>
      </c>
      <c r="G13" s="342">
        <f>インプット!$E64*G$5/入力条件の変換!$B$114</f>
        <v>0</v>
      </c>
      <c r="H13" s="342">
        <f>インプット!$E64*H$5/入力条件の変換!$B$114</f>
        <v>0</v>
      </c>
      <c r="I13" s="342">
        <f>インプット!$E64*I$5/入力条件の変換!$B$114</f>
        <v>0</v>
      </c>
      <c r="J13" s="342">
        <f>インプット!$E64*J$5/入力条件の変換!$B$114</f>
        <v>0</v>
      </c>
      <c r="K13" s="342">
        <f>インプット!$E64*K$5/入力条件の変換!$B$114</f>
        <v>0</v>
      </c>
      <c r="L13" s="342">
        <f>インプット!$E64*L$5/入力条件の変換!$B$114</f>
        <v>0</v>
      </c>
      <c r="M13" s="342">
        <f>インプット!$E64*M$5/入力条件の変換!$B$114</f>
        <v>0</v>
      </c>
      <c r="N13" s="342">
        <f>インプット!$E64*N$5/入力条件の変換!$B$114</f>
        <v>0</v>
      </c>
      <c r="O13" s="342">
        <f>インプット!$E64*O$5/入力条件の変換!$B$114</f>
        <v>0</v>
      </c>
      <c r="P13" s="342">
        <f>インプット!$E64*P$5/入力条件の変換!$B$114</f>
        <v>0</v>
      </c>
      <c r="Q13" s="343">
        <f>インプット!$E64*Q$5/入力条件の変換!$B$114</f>
        <v>0</v>
      </c>
      <c r="R13" s="342">
        <f>インプット!$E64*R$5/入力条件の変換!$B$114</f>
        <v>0</v>
      </c>
      <c r="S13" s="342">
        <f>インプット!$E64*S$5/入力条件の変換!$B$114</f>
        <v>0</v>
      </c>
      <c r="T13" s="342">
        <f>インプット!$E64*T$5/入力条件の変換!$B$114</f>
        <v>0</v>
      </c>
      <c r="U13" s="342">
        <f>インプット!$E64*U$5/入力条件の変換!$B$114</f>
        <v>0</v>
      </c>
      <c r="V13" s="342">
        <f>インプット!$E64*V$5/入力条件の変換!$B$114</f>
        <v>0</v>
      </c>
      <c r="W13" s="342">
        <f>インプット!$E64*W$5/入力条件の変換!$B$114</f>
        <v>0</v>
      </c>
      <c r="X13" s="342">
        <f>インプット!$E64*X$5/入力条件の変換!$B$114</f>
        <v>0</v>
      </c>
      <c r="Y13" s="342">
        <f>インプット!$E64*Y$5/入力条件の変換!$B$114</f>
        <v>0</v>
      </c>
      <c r="Z13" s="342">
        <f>インプット!$E64*Z$5/入力条件の変換!$B$114</f>
        <v>0</v>
      </c>
      <c r="AA13" s="342">
        <f>インプット!$E64*AA$5/入力条件の変換!$B$114</f>
        <v>0</v>
      </c>
      <c r="AB13" s="342">
        <f>インプット!$E64*AB$5/入力条件の変換!$B$114</f>
        <v>0</v>
      </c>
      <c r="AC13" s="342">
        <f>インプット!$E64*AC$5/入力条件の変換!$B$114</f>
        <v>0</v>
      </c>
      <c r="AD13" s="342">
        <f>インプット!$E64*AD$5/入力条件の変換!$B$114</f>
        <v>0</v>
      </c>
      <c r="AE13" s="342">
        <f>インプット!$E64*AE$5/入力条件の変換!$B$114</f>
        <v>0</v>
      </c>
      <c r="AF13" s="342">
        <f>インプット!$E64*AF$5/入力条件の変換!$B$114</f>
        <v>0</v>
      </c>
      <c r="AG13" s="342">
        <f>インプット!$E64*AG$5/入力条件の変換!$B$114</f>
        <v>0</v>
      </c>
      <c r="AH13" s="344">
        <f>インプット!$E64*AH$5/入力条件の変換!$B$114</f>
        <v>0</v>
      </c>
      <c r="AI13" s="19"/>
      <c r="AK13" s="20"/>
    </row>
    <row r="14" spans="1:37" ht="13" thickBot="1" x14ac:dyDescent="0.3">
      <c r="B14" s="21"/>
      <c r="C14" s="22"/>
      <c r="D14" s="23"/>
      <c r="E14" s="23"/>
      <c r="F14" s="23"/>
      <c r="G14" s="23"/>
      <c r="H14" s="23"/>
      <c r="I14" s="23"/>
      <c r="J14" s="23"/>
      <c r="K14" s="23"/>
      <c r="L14" s="23"/>
      <c r="M14" s="23"/>
      <c r="N14" s="23"/>
      <c r="O14" s="23"/>
      <c r="P14" s="23"/>
      <c r="Q14" s="116"/>
      <c r="R14" s="116"/>
      <c r="S14" s="116"/>
      <c r="T14" s="116"/>
      <c r="U14" s="116"/>
      <c r="V14" s="116"/>
      <c r="W14" s="116"/>
      <c r="X14" s="24"/>
      <c r="Y14" s="4"/>
    </row>
    <row r="15" spans="1:37" ht="13" thickBot="1" x14ac:dyDescent="0.3">
      <c r="B15" s="25" t="s">
        <v>28</v>
      </c>
      <c r="C15" s="26"/>
      <c r="D15" s="27">
        <v>0</v>
      </c>
      <c r="E15" s="27">
        <v>1</v>
      </c>
      <c r="F15" s="27">
        <v>2</v>
      </c>
      <c r="G15" s="27">
        <v>3</v>
      </c>
      <c r="H15" s="27">
        <v>4</v>
      </c>
      <c r="I15" s="27">
        <v>5</v>
      </c>
      <c r="J15" s="27">
        <v>6</v>
      </c>
      <c r="K15" s="27">
        <v>7</v>
      </c>
      <c r="L15" s="27">
        <v>8</v>
      </c>
      <c r="M15" s="27">
        <v>9</v>
      </c>
      <c r="N15" s="27">
        <v>10</v>
      </c>
      <c r="O15" s="27">
        <v>11</v>
      </c>
      <c r="P15" s="27">
        <v>12</v>
      </c>
      <c r="Q15" s="27">
        <v>13</v>
      </c>
      <c r="R15" s="27">
        <v>14</v>
      </c>
      <c r="S15" s="27">
        <v>15</v>
      </c>
      <c r="T15" s="27">
        <v>16</v>
      </c>
      <c r="U15" s="27">
        <v>17</v>
      </c>
      <c r="V15" s="27">
        <v>18</v>
      </c>
      <c r="W15" s="27">
        <v>19</v>
      </c>
      <c r="X15" s="28">
        <v>20</v>
      </c>
      <c r="Y15" s="28">
        <v>21</v>
      </c>
      <c r="Z15" s="28">
        <v>22</v>
      </c>
      <c r="AA15" s="28">
        <v>23</v>
      </c>
      <c r="AB15" s="28">
        <v>24</v>
      </c>
      <c r="AC15" s="28">
        <v>25</v>
      </c>
      <c r="AD15" s="28">
        <v>26</v>
      </c>
      <c r="AE15" s="28">
        <v>27</v>
      </c>
      <c r="AF15" s="28">
        <v>28</v>
      </c>
      <c r="AG15" s="28">
        <v>29</v>
      </c>
      <c r="AH15" s="28">
        <v>30</v>
      </c>
      <c r="AI15" s="29" t="s">
        <v>10</v>
      </c>
    </row>
    <row r="16" spans="1:37" ht="13" x14ac:dyDescent="0.3">
      <c r="B16" s="617" t="s">
        <v>74</v>
      </c>
      <c r="C16" s="618"/>
      <c r="D16" s="31"/>
      <c r="E16" s="31"/>
      <c r="F16" s="31"/>
      <c r="G16" s="31"/>
      <c r="H16" s="31"/>
      <c r="I16" s="31"/>
      <c r="J16" s="31"/>
      <c r="K16" s="31"/>
      <c r="L16" s="31"/>
      <c r="M16" s="31"/>
      <c r="N16" s="31"/>
      <c r="O16" s="31"/>
      <c r="P16" s="31"/>
      <c r="Q16" s="31"/>
      <c r="R16" s="31"/>
      <c r="S16" s="31"/>
      <c r="T16" s="31"/>
      <c r="U16" s="31"/>
      <c r="V16" s="31"/>
      <c r="W16" s="31"/>
      <c r="X16" s="32"/>
      <c r="Y16" s="33"/>
      <c r="Z16" s="33"/>
      <c r="AA16" s="33"/>
      <c r="AB16" s="33"/>
      <c r="AC16" s="33"/>
      <c r="AD16" s="33"/>
      <c r="AE16" s="33"/>
      <c r="AF16" s="33"/>
      <c r="AG16" s="33"/>
      <c r="AH16" s="34"/>
      <c r="AI16" s="35"/>
    </row>
    <row r="17" spans="2:35" x14ac:dyDescent="0.25">
      <c r="B17" s="99" t="s">
        <v>32</v>
      </c>
      <c r="C17" s="60" t="s">
        <v>11</v>
      </c>
      <c r="D17" s="37"/>
      <c r="E17" s="37">
        <f>E20*E21</f>
        <v>68270664.902343765</v>
      </c>
      <c r="F17" s="37">
        <f>F20*F21</f>
        <v>68270664.902343765</v>
      </c>
      <c r="G17" s="37">
        <f t="shared" ref="G17:AH17" si="0">G20*G21</f>
        <v>68270664.902343765</v>
      </c>
      <c r="H17" s="37">
        <f t="shared" si="0"/>
        <v>68270664.902343765</v>
      </c>
      <c r="I17" s="37">
        <f t="shared" si="0"/>
        <v>68270664.902343765</v>
      </c>
      <c r="J17" s="37">
        <f t="shared" si="0"/>
        <v>68270664.902343765</v>
      </c>
      <c r="K17" s="37">
        <f t="shared" si="0"/>
        <v>68270664.902343765</v>
      </c>
      <c r="L17" s="37">
        <f t="shared" si="0"/>
        <v>68270664.902343765</v>
      </c>
      <c r="M17" s="37">
        <f t="shared" si="0"/>
        <v>68270664.902343765</v>
      </c>
      <c r="N17" s="37">
        <f t="shared" si="0"/>
        <v>68270664.902343765</v>
      </c>
      <c r="O17" s="37">
        <f t="shared" si="0"/>
        <v>68270664.902343765</v>
      </c>
      <c r="P17" s="37">
        <f t="shared" si="0"/>
        <v>68270664.902343765</v>
      </c>
      <c r="Q17" s="37">
        <f t="shared" si="0"/>
        <v>68270664.902343765</v>
      </c>
      <c r="R17" s="37">
        <f t="shared" si="0"/>
        <v>68270664.902343765</v>
      </c>
      <c r="S17" s="37">
        <f t="shared" si="0"/>
        <v>68270664.902343765</v>
      </c>
      <c r="T17" s="37">
        <f t="shared" si="0"/>
        <v>68270664.902343765</v>
      </c>
      <c r="U17" s="37">
        <f t="shared" si="0"/>
        <v>68270664.902343765</v>
      </c>
      <c r="V17" s="37">
        <f t="shared" si="0"/>
        <v>68270664.902343765</v>
      </c>
      <c r="W17" s="37">
        <f t="shared" si="0"/>
        <v>68270664.902343765</v>
      </c>
      <c r="X17" s="37">
        <f t="shared" si="0"/>
        <v>68270664.902343765</v>
      </c>
      <c r="Y17" s="37">
        <f t="shared" si="0"/>
        <v>68270664.902343765</v>
      </c>
      <c r="Z17" s="37">
        <f t="shared" si="0"/>
        <v>68270664.902343765</v>
      </c>
      <c r="AA17" s="37">
        <f t="shared" si="0"/>
        <v>68270664.902343765</v>
      </c>
      <c r="AB17" s="37">
        <f t="shared" si="0"/>
        <v>68270664.902343765</v>
      </c>
      <c r="AC17" s="37">
        <f t="shared" si="0"/>
        <v>68270664.902343765</v>
      </c>
      <c r="AD17" s="37">
        <f t="shared" si="0"/>
        <v>68270664.902343765</v>
      </c>
      <c r="AE17" s="37">
        <f t="shared" si="0"/>
        <v>68270664.902343765</v>
      </c>
      <c r="AF17" s="37">
        <f t="shared" si="0"/>
        <v>68270664.902343765</v>
      </c>
      <c r="AG17" s="37">
        <f t="shared" si="0"/>
        <v>68270664.902343765</v>
      </c>
      <c r="AH17" s="128">
        <f t="shared" si="0"/>
        <v>68270664.902343765</v>
      </c>
      <c r="AI17" s="39">
        <f>SUM(E17:AH17)</f>
        <v>2048119947.0703127</v>
      </c>
    </row>
    <row r="18" spans="2:35" x14ac:dyDescent="0.25">
      <c r="B18" s="99" t="s">
        <v>35</v>
      </c>
      <c r="C18" s="60" t="s">
        <v>38</v>
      </c>
      <c r="D18" s="97"/>
      <c r="E18" s="97">
        <f>入力条件の変換!$B$110*E5/入力条件の変換!$B$114</f>
        <v>5618984.7656250009</v>
      </c>
      <c r="F18" s="48">
        <f>入力条件の変換!$B$110*F5/入力条件の変換!$B$114</f>
        <v>5618984.7656250009</v>
      </c>
      <c r="G18" s="48">
        <f>入力条件の変換!$B$110*G5/入力条件の変換!$B$114</f>
        <v>5618984.7656250009</v>
      </c>
      <c r="H18" s="48">
        <f>入力条件の変換!$B$110*H5/入力条件の変換!$B$114</f>
        <v>5618984.7656250009</v>
      </c>
      <c r="I18" s="48">
        <f>入力条件の変換!$B$110*I5/入力条件の変換!$B$114</f>
        <v>5618984.7656250009</v>
      </c>
      <c r="J18" s="48">
        <f>入力条件の変換!$B$110*J5/入力条件の変換!$B$114</f>
        <v>5618984.7656250009</v>
      </c>
      <c r="K18" s="48">
        <f>入力条件の変換!$B$110*K5/入力条件の変換!$B$114</f>
        <v>5618984.7656250009</v>
      </c>
      <c r="L18" s="48">
        <f>入力条件の変換!$B$110*L5/入力条件の変換!$B$114</f>
        <v>5618984.7656250009</v>
      </c>
      <c r="M18" s="48">
        <f>入力条件の変換!$B$110*M5/入力条件の変換!$B$114</f>
        <v>5618984.7656250009</v>
      </c>
      <c r="N18" s="48">
        <f>入力条件の変換!$B$110*N5/入力条件の変換!$B$114</f>
        <v>5618984.7656250009</v>
      </c>
      <c r="O18" s="48">
        <f>入力条件の変換!$B$110*O5/入力条件の変換!$B$114</f>
        <v>5618984.7656250009</v>
      </c>
      <c r="P18" s="48">
        <f>入力条件の変換!$B$110*P5/入力条件の変換!$B$114</f>
        <v>5618984.7656250009</v>
      </c>
      <c r="Q18" s="48">
        <f>入力条件の変換!$B$110*Q5/入力条件の変換!$B$114</f>
        <v>5618984.7656250009</v>
      </c>
      <c r="R18" s="48">
        <f>入力条件の変換!$B$110*R5/入力条件の変換!$B$114</f>
        <v>5618984.7656250009</v>
      </c>
      <c r="S18" s="48">
        <f>入力条件の変換!$B$110*S5/入力条件の変換!$B$114</f>
        <v>5618984.7656250009</v>
      </c>
      <c r="T18" s="48">
        <f>入力条件の変換!$B$110*T5/入力条件の変換!$B$114</f>
        <v>5618984.7656250009</v>
      </c>
      <c r="U18" s="48">
        <f>入力条件の変換!$B$110*U5/入力条件の変換!$B$114</f>
        <v>5618984.7656250009</v>
      </c>
      <c r="V18" s="48">
        <f>入力条件の変換!$B$110*V5/入力条件の変換!$B$114</f>
        <v>5618984.7656250009</v>
      </c>
      <c r="W18" s="48">
        <f>入力条件の変換!$B$110*W5/入力条件の変換!$B$114</f>
        <v>5618984.7656250009</v>
      </c>
      <c r="X18" s="48">
        <f>入力条件の変換!$B$110*X5/入力条件の変換!$B$114</f>
        <v>5618984.7656250009</v>
      </c>
      <c r="Y18" s="48">
        <f>入力条件の変換!$B$110*Y5/入力条件の変換!$B$114</f>
        <v>5618984.7656250009</v>
      </c>
      <c r="Z18" s="48">
        <f>入力条件の変換!$B$110*Z5/入力条件の変換!$B$114</f>
        <v>5618984.7656250009</v>
      </c>
      <c r="AA18" s="48">
        <f>入力条件の変換!$B$110*AA5/入力条件の変換!$B$114</f>
        <v>5618984.7656250009</v>
      </c>
      <c r="AB18" s="48">
        <f>入力条件の変換!$B$110*AB5/入力条件の変換!$B$114</f>
        <v>5618984.7656250009</v>
      </c>
      <c r="AC18" s="48">
        <f>入力条件の変換!$B$110*AC5/入力条件の変換!$B$114</f>
        <v>5618984.7656250009</v>
      </c>
      <c r="AD18" s="48">
        <f>入力条件の変換!$B$110*AD5/入力条件の変換!$B$114</f>
        <v>5618984.7656250009</v>
      </c>
      <c r="AE18" s="48">
        <f>入力条件の変換!$B$110*AE5/入力条件の変換!$B$114</f>
        <v>5618984.7656250009</v>
      </c>
      <c r="AF18" s="48">
        <f>入力条件の変換!$B$110*AF5/入力条件の変換!$B$114</f>
        <v>5618984.7656250009</v>
      </c>
      <c r="AG18" s="48">
        <f>入力条件の変換!$B$110*AG5/入力条件の変換!$B$114</f>
        <v>5618984.7656250009</v>
      </c>
      <c r="AH18" s="129">
        <f>入力条件の変換!$B$110*AH5/入力条件の変換!$B$114</f>
        <v>5618984.7656250009</v>
      </c>
      <c r="AI18" s="61"/>
    </row>
    <row r="19" spans="2:35" x14ac:dyDescent="0.25">
      <c r="B19" s="99" t="s">
        <v>409</v>
      </c>
      <c r="C19" s="60" t="s">
        <v>36</v>
      </c>
      <c r="D19" s="102"/>
      <c r="E19" s="102">
        <f>(1-インプット!$E$10)</f>
        <v>0.81</v>
      </c>
      <c r="F19" s="130">
        <f>(1-インプット!$E$10)</f>
        <v>0.81</v>
      </c>
      <c r="G19" s="130">
        <f>(1-インプット!$E$10)</f>
        <v>0.81</v>
      </c>
      <c r="H19" s="130">
        <f>(1-インプット!$E$10)</f>
        <v>0.81</v>
      </c>
      <c r="I19" s="130">
        <f>(1-インプット!$E$10)</f>
        <v>0.81</v>
      </c>
      <c r="J19" s="130">
        <f>(1-インプット!$E$10)</f>
        <v>0.81</v>
      </c>
      <c r="K19" s="130">
        <f>(1-インプット!$E$10)</f>
        <v>0.81</v>
      </c>
      <c r="L19" s="130">
        <f>(1-インプット!$E$10)</f>
        <v>0.81</v>
      </c>
      <c r="M19" s="130">
        <f>(1-インプット!$E$10)</f>
        <v>0.81</v>
      </c>
      <c r="N19" s="130">
        <f>(1-インプット!$E$10)</f>
        <v>0.81</v>
      </c>
      <c r="O19" s="130">
        <f>(1-インプット!$E$10)</f>
        <v>0.81</v>
      </c>
      <c r="P19" s="130">
        <f>(1-インプット!$E$10)</f>
        <v>0.81</v>
      </c>
      <c r="Q19" s="130">
        <f>(1-インプット!$E$10)</f>
        <v>0.81</v>
      </c>
      <c r="R19" s="130">
        <f>(1-インプット!$E$10)</f>
        <v>0.81</v>
      </c>
      <c r="S19" s="130">
        <f>(1-インプット!$E$10)</f>
        <v>0.81</v>
      </c>
      <c r="T19" s="130">
        <f>(1-インプット!$E$10)</f>
        <v>0.81</v>
      </c>
      <c r="U19" s="130">
        <f>(1-インプット!$E$10)</f>
        <v>0.81</v>
      </c>
      <c r="V19" s="130">
        <f>(1-インプット!$E$10)</f>
        <v>0.81</v>
      </c>
      <c r="W19" s="130">
        <f>(1-インプット!$E$10)</f>
        <v>0.81</v>
      </c>
      <c r="X19" s="130">
        <f>(1-インプット!$E$10)</f>
        <v>0.81</v>
      </c>
      <c r="Y19" s="130">
        <f>(1-インプット!$E$10)</f>
        <v>0.81</v>
      </c>
      <c r="Z19" s="130">
        <f>(1-インプット!$E$10)</f>
        <v>0.81</v>
      </c>
      <c r="AA19" s="130">
        <f>(1-インプット!$E$10)</f>
        <v>0.81</v>
      </c>
      <c r="AB19" s="130">
        <f>(1-インプット!$E$10)</f>
        <v>0.81</v>
      </c>
      <c r="AC19" s="130">
        <f>(1-インプット!$E$10)</f>
        <v>0.81</v>
      </c>
      <c r="AD19" s="130">
        <f>(1-インプット!$E$10)</f>
        <v>0.81</v>
      </c>
      <c r="AE19" s="130">
        <f>(1-インプット!$E$10)</f>
        <v>0.81</v>
      </c>
      <c r="AF19" s="130">
        <f>(1-インプット!$E$10)</f>
        <v>0.81</v>
      </c>
      <c r="AG19" s="130">
        <f>(1-インプット!$E$10)</f>
        <v>0.81</v>
      </c>
      <c r="AH19" s="131">
        <f>(1-インプット!$E$10)</f>
        <v>0.81</v>
      </c>
      <c r="AI19" s="61"/>
    </row>
    <row r="20" spans="2:35" x14ac:dyDescent="0.25">
      <c r="B20" s="99" t="s">
        <v>33</v>
      </c>
      <c r="C20" s="60" t="s">
        <v>38</v>
      </c>
      <c r="D20" s="97"/>
      <c r="E20" s="97">
        <f t="shared" ref="E20:AH20" si="1">E18*E19</f>
        <v>4551377.6601562509</v>
      </c>
      <c r="F20" s="48">
        <f t="shared" si="1"/>
        <v>4551377.6601562509</v>
      </c>
      <c r="G20" s="48">
        <f t="shared" si="1"/>
        <v>4551377.6601562509</v>
      </c>
      <c r="H20" s="48">
        <f t="shared" si="1"/>
        <v>4551377.6601562509</v>
      </c>
      <c r="I20" s="48">
        <f t="shared" si="1"/>
        <v>4551377.6601562509</v>
      </c>
      <c r="J20" s="48">
        <f t="shared" si="1"/>
        <v>4551377.6601562509</v>
      </c>
      <c r="K20" s="48">
        <f t="shared" si="1"/>
        <v>4551377.6601562509</v>
      </c>
      <c r="L20" s="48">
        <f t="shared" si="1"/>
        <v>4551377.6601562509</v>
      </c>
      <c r="M20" s="48">
        <f t="shared" si="1"/>
        <v>4551377.6601562509</v>
      </c>
      <c r="N20" s="48">
        <f t="shared" si="1"/>
        <v>4551377.6601562509</v>
      </c>
      <c r="O20" s="48">
        <f t="shared" si="1"/>
        <v>4551377.6601562509</v>
      </c>
      <c r="P20" s="48">
        <f t="shared" si="1"/>
        <v>4551377.6601562509</v>
      </c>
      <c r="Q20" s="48">
        <f t="shared" si="1"/>
        <v>4551377.6601562509</v>
      </c>
      <c r="R20" s="48">
        <f t="shared" si="1"/>
        <v>4551377.6601562509</v>
      </c>
      <c r="S20" s="48">
        <f t="shared" si="1"/>
        <v>4551377.6601562509</v>
      </c>
      <c r="T20" s="48">
        <f t="shared" si="1"/>
        <v>4551377.6601562509</v>
      </c>
      <c r="U20" s="48">
        <f t="shared" si="1"/>
        <v>4551377.6601562509</v>
      </c>
      <c r="V20" s="48">
        <f t="shared" si="1"/>
        <v>4551377.6601562509</v>
      </c>
      <c r="W20" s="48">
        <f t="shared" si="1"/>
        <v>4551377.6601562509</v>
      </c>
      <c r="X20" s="48">
        <f t="shared" si="1"/>
        <v>4551377.6601562509</v>
      </c>
      <c r="Y20" s="48">
        <f t="shared" si="1"/>
        <v>4551377.6601562509</v>
      </c>
      <c r="Z20" s="48">
        <f t="shared" si="1"/>
        <v>4551377.6601562509</v>
      </c>
      <c r="AA20" s="48">
        <f t="shared" si="1"/>
        <v>4551377.6601562509</v>
      </c>
      <c r="AB20" s="48">
        <f t="shared" si="1"/>
        <v>4551377.6601562509</v>
      </c>
      <c r="AC20" s="48">
        <f t="shared" si="1"/>
        <v>4551377.6601562509</v>
      </c>
      <c r="AD20" s="48">
        <f t="shared" si="1"/>
        <v>4551377.6601562509</v>
      </c>
      <c r="AE20" s="48">
        <f t="shared" si="1"/>
        <v>4551377.6601562509</v>
      </c>
      <c r="AF20" s="48">
        <f t="shared" si="1"/>
        <v>4551377.6601562509</v>
      </c>
      <c r="AG20" s="48">
        <f t="shared" si="1"/>
        <v>4551377.6601562509</v>
      </c>
      <c r="AH20" s="129">
        <f t="shared" si="1"/>
        <v>4551377.6601562509</v>
      </c>
      <c r="AI20" s="61"/>
    </row>
    <row r="21" spans="2:35" x14ac:dyDescent="0.25">
      <c r="B21" s="642" t="s">
        <v>34</v>
      </c>
      <c r="C21" s="614" t="s">
        <v>303</v>
      </c>
      <c r="D21" s="615"/>
      <c r="E21" s="615">
        <f t="shared" ref="E21:AH21" si="2">E6</f>
        <v>15</v>
      </c>
      <c r="F21" s="648">
        <f t="shared" si="2"/>
        <v>15</v>
      </c>
      <c r="G21" s="648">
        <f t="shared" si="2"/>
        <v>15</v>
      </c>
      <c r="H21" s="648">
        <f t="shared" si="2"/>
        <v>15</v>
      </c>
      <c r="I21" s="648">
        <f t="shared" si="2"/>
        <v>15</v>
      </c>
      <c r="J21" s="648">
        <f t="shared" si="2"/>
        <v>15</v>
      </c>
      <c r="K21" s="648">
        <f t="shared" si="2"/>
        <v>15</v>
      </c>
      <c r="L21" s="648">
        <f t="shared" si="2"/>
        <v>15</v>
      </c>
      <c r="M21" s="648">
        <f t="shared" si="2"/>
        <v>15</v>
      </c>
      <c r="N21" s="648">
        <f t="shared" si="2"/>
        <v>15</v>
      </c>
      <c r="O21" s="648">
        <f t="shared" si="2"/>
        <v>15</v>
      </c>
      <c r="P21" s="648">
        <f t="shared" si="2"/>
        <v>15</v>
      </c>
      <c r="Q21" s="648">
        <f t="shared" si="2"/>
        <v>15</v>
      </c>
      <c r="R21" s="648">
        <f t="shared" si="2"/>
        <v>15</v>
      </c>
      <c r="S21" s="648">
        <f t="shared" si="2"/>
        <v>15</v>
      </c>
      <c r="T21" s="648">
        <f t="shared" si="2"/>
        <v>15</v>
      </c>
      <c r="U21" s="648">
        <f t="shared" si="2"/>
        <v>15</v>
      </c>
      <c r="V21" s="648">
        <f t="shared" si="2"/>
        <v>15</v>
      </c>
      <c r="W21" s="648">
        <f t="shared" si="2"/>
        <v>15</v>
      </c>
      <c r="X21" s="648">
        <f t="shared" si="2"/>
        <v>15</v>
      </c>
      <c r="Y21" s="648">
        <f t="shared" si="2"/>
        <v>15</v>
      </c>
      <c r="Z21" s="648">
        <f t="shared" si="2"/>
        <v>15</v>
      </c>
      <c r="AA21" s="648">
        <f t="shared" si="2"/>
        <v>15</v>
      </c>
      <c r="AB21" s="648">
        <f t="shared" si="2"/>
        <v>15</v>
      </c>
      <c r="AC21" s="648">
        <f t="shared" si="2"/>
        <v>15</v>
      </c>
      <c r="AD21" s="648">
        <f t="shared" si="2"/>
        <v>15</v>
      </c>
      <c r="AE21" s="648">
        <f t="shared" si="2"/>
        <v>15</v>
      </c>
      <c r="AF21" s="648">
        <f t="shared" si="2"/>
        <v>15</v>
      </c>
      <c r="AG21" s="648">
        <f t="shared" si="2"/>
        <v>15</v>
      </c>
      <c r="AH21" s="649">
        <f t="shared" si="2"/>
        <v>15</v>
      </c>
      <c r="AI21" s="645"/>
    </row>
    <row r="22" spans="2:35" x14ac:dyDescent="0.25">
      <c r="B22" s="99" t="s">
        <v>39</v>
      </c>
      <c r="C22" s="60" t="s">
        <v>11</v>
      </c>
      <c r="D22" s="48"/>
      <c r="E22" s="48">
        <f>E25*E26</f>
        <v>0</v>
      </c>
      <c r="F22" s="48">
        <f>F25*F26</f>
        <v>0</v>
      </c>
      <c r="G22" s="48">
        <f t="shared" ref="G22:AH22" si="3">G25*G26</f>
        <v>0</v>
      </c>
      <c r="H22" s="48">
        <f t="shared" si="3"/>
        <v>0</v>
      </c>
      <c r="I22" s="48">
        <f t="shared" si="3"/>
        <v>0</v>
      </c>
      <c r="J22" s="48">
        <f t="shared" si="3"/>
        <v>0</v>
      </c>
      <c r="K22" s="48">
        <f t="shared" si="3"/>
        <v>0</v>
      </c>
      <c r="L22" s="48">
        <f t="shared" si="3"/>
        <v>0</v>
      </c>
      <c r="M22" s="48">
        <f t="shared" si="3"/>
        <v>0</v>
      </c>
      <c r="N22" s="48">
        <f t="shared" si="3"/>
        <v>0</v>
      </c>
      <c r="O22" s="48">
        <f t="shared" si="3"/>
        <v>0</v>
      </c>
      <c r="P22" s="48">
        <f t="shared" si="3"/>
        <v>0</v>
      </c>
      <c r="Q22" s="48">
        <f t="shared" si="3"/>
        <v>0</v>
      </c>
      <c r="R22" s="48">
        <f t="shared" si="3"/>
        <v>0</v>
      </c>
      <c r="S22" s="48">
        <f t="shared" si="3"/>
        <v>0</v>
      </c>
      <c r="T22" s="48">
        <f t="shared" si="3"/>
        <v>0</v>
      </c>
      <c r="U22" s="48">
        <f t="shared" si="3"/>
        <v>0</v>
      </c>
      <c r="V22" s="48">
        <f t="shared" si="3"/>
        <v>0</v>
      </c>
      <c r="W22" s="48">
        <f t="shared" si="3"/>
        <v>0</v>
      </c>
      <c r="X22" s="48">
        <f t="shared" si="3"/>
        <v>0</v>
      </c>
      <c r="Y22" s="48">
        <f t="shared" si="3"/>
        <v>0</v>
      </c>
      <c r="Z22" s="48">
        <f t="shared" si="3"/>
        <v>0</v>
      </c>
      <c r="AA22" s="48">
        <f t="shared" si="3"/>
        <v>0</v>
      </c>
      <c r="AB22" s="48">
        <f t="shared" si="3"/>
        <v>0</v>
      </c>
      <c r="AC22" s="48">
        <f t="shared" si="3"/>
        <v>0</v>
      </c>
      <c r="AD22" s="48">
        <f t="shared" si="3"/>
        <v>0</v>
      </c>
      <c r="AE22" s="48">
        <f t="shared" si="3"/>
        <v>0</v>
      </c>
      <c r="AF22" s="48">
        <f t="shared" si="3"/>
        <v>0</v>
      </c>
      <c r="AG22" s="48">
        <f t="shared" si="3"/>
        <v>0</v>
      </c>
      <c r="AH22" s="129">
        <f t="shared" si="3"/>
        <v>0</v>
      </c>
      <c r="AI22" s="646">
        <f>SUM(E22:AH22)</f>
        <v>0</v>
      </c>
    </row>
    <row r="23" spans="2:35" x14ac:dyDescent="0.25">
      <c r="B23" s="99" t="s">
        <v>439</v>
      </c>
      <c r="C23" s="60" t="s">
        <v>408</v>
      </c>
      <c r="D23" s="97"/>
      <c r="E23" s="97">
        <f>入力条件の変換!$B$111*E5/入力条件の変換!$B$114</f>
        <v>0</v>
      </c>
      <c r="F23" s="48">
        <f>入力条件の変換!$B$111*F5/入力条件の変換!$B$114</f>
        <v>0</v>
      </c>
      <c r="G23" s="48">
        <f>入力条件の変換!$B$111*G5/入力条件の変換!$B$114</f>
        <v>0</v>
      </c>
      <c r="H23" s="48">
        <f>入力条件の変換!$B$111*H5/入力条件の変換!$B$114</f>
        <v>0</v>
      </c>
      <c r="I23" s="48">
        <f>入力条件の変換!$B$111*I5/入力条件の変換!$B$114</f>
        <v>0</v>
      </c>
      <c r="J23" s="48">
        <f>入力条件の変換!$B$111*J5/入力条件の変換!$B$114</f>
        <v>0</v>
      </c>
      <c r="K23" s="48">
        <f>入力条件の変換!$B$111*K5/入力条件の変換!$B$114</f>
        <v>0</v>
      </c>
      <c r="L23" s="48">
        <f>入力条件の変換!$B$111*L5/入力条件の変換!$B$114</f>
        <v>0</v>
      </c>
      <c r="M23" s="48">
        <f>入力条件の変換!$B$111*M5/入力条件の変換!$B$114</f>
        <v>0</v>
      </c>
      <c r="N23" s="48">
        <f>入力条件の変換!$B$111*N5/入力条件の変換!$B$114</f>
        <v>0</v>
      </c>
      <c r="O23" s="48">
        <f>入力条件の変換!$B$111*O5/入力条件の変換!$B$114</f>
        <v>0</v>
      </c>
      <c r="P23" s="48">
        <f>入力条件の変換!$B$111*P5/入力条件の変換!$B$114</f>
        <v>0</v>
      </c>
      <c r="Q23" s="48">
        <f>入力条件の変換!$B$111*Q5/入力条件の変換!$B$114</f>
        <v>0</v>
      </c>
      <c r="R23" s="48">
        <f>入力条件の変換!$B$111*R5/入力条件の変換!$B$114</f>
        <v>0</v>
      </c>
      <c r="S23" s="48">
        <f>入力条件の変換!$B$111*S5/入力条件の変換!$B$114</f>
        <v>0</v>
      </c>
      <c r="T23" s="48">
        <f>入力条件の変換!$B$111*T5/入力条件の変換!$B$114</f>
        <v>0</v>
      </c>
      <c r="U23" s="48">
        <f>入力条件の変換!$B$111*U5/入力条件の変換!$B$114</f>
        <v>0</v>
      </c>
      <c r="V23" s="48">
        <f>入力条件の変換!$B$111*V5/入力条件の変換!$B$114</f>
        <v>0</v>
      </c>
      <c r="W23" s="48">
        <f>入力条件の変換!$B$111*W5/入力条件の変換!$B$114</f>
        <v>0</v>
      </c>
      <c r="X23" s="48">
        <f>入力条件の変換!$B$111*X5/入力条件の変換!$B$114</f>
        <v>0</v>
      </c>
      <c r="Y23" s="48">
        <f>入力条件の変換!$B$111*Y5/入力条件の変換!$B$114</f>
        <v>0</v>
      </c>
      <c r="Z23" s="48">
        <f>入力条件の変換!$B$111*Z5/入力条件の変換!$B$114</f>
        <v>0</v>
      </c>
      <c r="AA23" s="48">
        <f>入力条件の変換!$B$111*AA5/入力条件の変換!$B$114</f>
        <v>0</v>
      </c>
      <c r="AB23" s="48">
        <f>入力条件の変換!$B$111*AB5/入力条件の変換!$B$114</f>
        <v>0</v>
      </c>
      <c r="AC23" s="48">
        <f>入力条件の変換!$B$111*AC5/入力条件の変換!$B$114</f>
        <v>0</v>
      </c>
      <c r="AD23" s="48">
        <f>入力条件の変換!$B$111*AD5/入力条件の変換!$B$114</f>
        <v>0</v>
      </c>
      <c r="AE23" s="48">
        <f>入力条件の変換!$B$111*AE5/入力条件の変換!$B$114</f>
        <v>0</v>
      </c>
      <c r="AF23" s="48">
        <f>入力条件の変換!$B$111*AF5/入力条件の変換!$B$114</f>
        <v>0</v>
      </c>
      <c r="AG23" s="48">
        <f>入力条件の変換!$B$111*AG5/入力条件の変換!$B$114</f>
        <v>0</v>
      </c>
      <c r="AH23" s="129">
        <f>入力条件の変換!$B$111*AH5/入力条件の変換!$B$114</f>
        <v>0</v>
      </c>
      <c r="AI23" s="61"/>
    </row>
    <row r="24" spans="2:35" x14ac:dyDescent="0.25">
      <c r="B24" s="99" t="s">
        <v>409</v>
      </c>
      <c r="C24" s="60" t="s">
        <v>36</v>
      </c>
      <c r="D24" s="102"/>
      <c r="E24" s="102">
        <f>1-インプット!$E$11</f>
        <v>1</v>
      </c>
      <c r="F24" s="130">
        <f>1-インプット!$E$11</f>
        <v>1</v>
      </c>
      <c r="G24" s="130">
        <f>1-インプット!$E$11</f>
        <v>1</v>
      </c>
      <c r="H24" s="130">
        <f>1-インプット!$E$11</f>
        <v>1</v>
      </c>
      <c r="I24" s="130">
        <f>1-インプット!$E$11</f>
        <v>1</v>
      </c>
      <c r="J24" s="130">
        <f>1-インプット!$E$11</f>
        <v>1</v>
      </c>
      <c r="K24" s="130">
        <f>1-インプット!$E$11</f>
        <v>1</v>
      </c>
      <c r="L24" s="130">
        <f>1-インプット!$E$11</f>
        <v>1</v>
      </c>
      <c r="M24" s="130">
        <f>1-インプット!$E$11</f>
        <v>1</v>
      </c>
      <c r="N24" s="130">
        <f>1-インプット!$E$11</f>
        <v>1</v>
      </c>
      <c r="O24" s="130">
        <f>1-インプット!$E$11</f>
        <v>1</v>
      </c>
      <c r="P24" s="130">
        <f>1-インプット!$E$11</f>
        <v>1</v>
      </c>
      <c r="Q24" s="130">
        <f>1-インプット!$E$11</f>
        <v>1</v>
      </c>
      <c r="R24" s="130">
        <f>1-インプット!$E$11</f>
        <v>1</v>
      </c>
      <c r="S24" s="130">
        <f>1-インプット!$E$11</f>
        <v>1</v>
      </c>
      <c r="T24" s="130">
        <f>1-インプット!$E$11</f>
        <v>1</v>
      </c>
      <c r="U24" s="130">
        <f>1-インプット!$E$11</f>
        <v>1</v>
      </c>
      <c r="V24" s="130">
        <f>1-インプット!$E$11</f>
        <v>1</v>
      </c>
      <c r="W24" s="130">
        <f>1-インプット!$E$11</f>
        <v>1</v>
      </c>
      <c r="X24" s="130">
        <f>1-インプット!$E$11</f>
        <v>1</v>
      </c>
      <c r="Y24" s="130">
        <f>1-インプット!$E$11</f>
        <v>1</v>
      </c>
      <c r="Z24" s="130">
        <f>1-インプット!$E$11</f>
        <v>1</v>
      </c>
      <c r="AA24" s="130">
        <f>1-インプット!$E$11</f>
        <v>1</v>
      </c>
      <c r="AB24" s="130">
        <f>1-インプット!$E$11</f>
        <v>1</v>
      </c>
      <c r="AC24" s="130">
        <f>1-インプット!$E$11</f>
        <v>1</v>
      </c>
      <c r="AD24" s="130">
        <f>1-インプット!$E$11</f>
        <v>1</v>
      </c>
      <c r="AE24" s="130">
        <f>1-インプット!$E$11</f>
        <v>1</v>
      </c>
      <c r="AF24" s="130">
        <f>1-インプット!$E$11</f>
        <v>1</v>
      </c>
      <c r="AG24" s="130">
        <f>1-インプット!$E$11</f>
        <v>1</v>
      </c>
      <c r="AH24" s="131">
        <f>1-インプット!$E$11</f>
        <v>1</v>
      </c>
      <c r="AI24" s="61"/>
    </row>
    <row r="25" spans="2:35" x14ac:dyDescent="0.25">
      <c r="B25" s="99" t="s">
        <v>40</v>
      </c>
      <c r="C25" s="60" t="s">
        <v>408</v>
      </c>
      <c r="D25" s="97"/>
      <c r="E25" s="97">
        <f>E23*E24</f>
        <v>0</v>
      </c>
      <c r="F25" s="48">
        <f t="shared" ref="F25:AH25" si="4">F23*F24</f>
        <v>0</v>
      </c>
      <c r="G25" s="48">
        <f t="shared" si="4"/>
        <v>0</v>
      </c>
      <c r="H25" s="48">
        <f t="shared" si="4"/>
        <v>0</v>
      </c>
      <c r="I25" s="48">
        <f t="shared" si="4"/>
        <v>0</v>
      </c>
      <c r="J25" s="48">
        <f t="shared" si="4"/>
        <v>0</v>
      </c>
      <c r="K25" s="48">
        <f t="shared" si="4"/>
        <v>0</v>
      </c>
      <c r="L25" s="48">
        <f t="shared" si="4"/>
        <v>0</v>
      </c>
      <c r="M25" s="48">
        <f t="shared" si="4"/>
        <v>0</v>
      </c>
      <c r="N25" s="48">
        <f t="shared" si="4"/>
        <v>0</v>
      </c>
      <c r="O25" s="48">
        <f t="shared" si="4"/>
        <v>0</v>
      </c>
      <c r="P25" s="48">
        <f t="shared" si="4"/>
        <v>0</v>
      </c>
      <c r="Q25" s="48">
        <f t="shared" si="4"/>
        <v>0</v>
      </c>
      <c r="R25" s="48">
        <f t="shared" si="4"/>
        <v>0</v>
      </c>
      <c r="S25" s="48">
        <f t="shared" si="4"/>
        <v>0</v>
      </c>
      <c r="T25" s="48">
        <f t="shared" si="4"/>
        <v>0</v>
      </c>
      <c r="U25" s="48">
        <f t="shared" si="4"/>
        <v>0</v>
      </c>
      <c r="V25" s="48">
        <f t="shared" si="4"/>
        <v>0</v>
      </c>
      <c r="W25" s="48">
        <f t="shared" si="4"/>
        <v>0</v>
      </c>
      <c r="X25" s="48">
        <f t="shared" si="4"/>
        <v>0</v>
      </c>
      <c r="Y25" s="48">
        <f t="shared" si="4"/>
        <v>0</v>
      </c>
      <c r="Z25" s="48">
        <f t="shared" si="4"/>
        <v>0</v>
      </c>
      <c r="AA25" s="48">
        <f t="shared" si="4"/>
        <v>0</v>
      </c>
      <c r="AB25" s="48">
        <f t="shared" si="4"/>
        <v>0</v>
      </c>
      <c r="AC25" s="48">
        <f t="shared" si="4"/>
        <v>0</v>
      </c>
      <c r="AD25" s="48">
        <f t="shared" si="4"/>
        <v>0</v>
      </c>
      <c r="AE25" s="48">
        <f t="shared" si="4"/>
        <v>0</v>
      </c>
      <c r="AF25" s="48">
        <f t="shared" si="4"/>
        <v>0</v>
      </c>
      <c r="AG25" s="48">
        <f t="shared" si="4"/>
        <v>0</v>
      </c>
      <c r="AH25" s="129">
        <f t="shared" si="4"/>
        <v>0</v>
      </c>
      <c r="AI25" s="61"/>
    </row>
    <row r="26" spans="2:35" x14ac:dyDescent="0.25">
      <c r="B26" s="642" t="s">
        <v>41</v>
      </c>
      <c r="C26" s="614" t="s">
        <v>305</v>
      </c>
      <c r="D26" s="615"/>
      <c r="E26" s="616">
        <f>$E$7</f>
        <v>0</v>
      </c>
      <c r="F26" s="643">
        <f t="shared" ref="F26:AH26" si="5">$E$7</f>
        <v>0</v>
      </c>
      <c r="G26" s="643">
        <f t="shared" si="5"/>
        <v>0</v>
      </c>
      <c r="H26" s="643">
        <f t="shared" si="5"/>
        <v>0</v>
      </c>
      <c r="I26" s="643">
        <f t="shared" si="5"/>
        <v>0</v>
      </c>
      <c r="J26" s="643">
        <f t="shared" si="5"/>
        <v>0</v>
      </c>
      <c r="K26" s="643">
        <f t="shared" si="5"/>
        <v>0</v>
      </c>
      <c r="L26" s="643">
        <f t="shared" si="5"/>
        <v>0</v>
      </c>
      <c r="M26" s="643">
        <f t="shared" si="5"/>
        <v>0</v>
      </c>
      <c r="N26" s="643">
        <f t="shared" si="5"/>
        <v>0</v>
      </c>
      <c r="O26" s="643">
        <f t="shared" si="5"/>
        <v>0</v>
      </c>
      <c r="P26" s="643">
        <f t="shared" si="5"/>
        <v>0</v>
      </c>
      <c r="Q26" s="643">
        <f t="shared" si="5"/>
        <v>0</v>
      </c>
      <c r="R26" s="643">
        <f t="shared" si="5"/>
        <v>0</v>
      </c>
      <c r="S26" s="643">
        <f t="shared" si="5"/>
        <v>0</v>
      </c>
      <c r="T26" s="643">
        <f t="shared" si="5"/>
        <v>0</v>
      </c>
      <c r="U26" s="643">
        <f t="shared" si="5"/>
        <v>0</v>
      </c>
      <c r="V26" s="643">
        <f t="shared" si="5"/>
        <v>0</v>
      </c>
      <c r="W26" s="643">
        <f t="shared" si="5"/>
        <v>0</v>
      </c>
      <c r="X26" s="643">
        <f t="shared" si="5"/>
        <v>0</v>
      </c>
      <c r="Y26" s="643">
        <f t="shared" si="5"/>
        <v>0</v>
      </c>
      <c r="Z26" s="643">
        <f t="shared" si="5"/>
        <v>0</v>
      </c>
      <c r="AA26" s="643">
        <f t="shared" si="5"/>
        <v>0</v>
      </c>
      <c r="AB26" s="643">
        <f t="shared" si="5"/>
        <v>0</v>
      </c>
      <c r="AC26" s="643">
        <f t="shared" si="5"/>
        <v>0</v>
      </c>
      <c r="AD26" s="643">
        <f t="shared" si="5"/>
        <v>0</v>
      </c>
      <c r="AE26" s="643">
        <f t="shared" si="5"/>
        <v>0</v>
      </c>
      <c r="AF26" s="643">
        <f t="shared" si="5"/>
        <v>0</v>
      </c>
      <c r="AG26" s="643">
        <f t="shared" si="5"/>
        <v>0</v>
      </c>
      <c r="AH26" s="644">
        <f t="shared" si="5"/>
        <v>0</v>
      </c>
      <c r="AI26" s="645"/>
    </row>
    <row r="27" spans="2:35" x14ac:dyDescent="0.25">
      <c r="B27" s="99" t="str">
        <f>インプット!A18&amp;" "&amp;インプット!B18&amp;"販売収入"</f>
        <v>その他収益 液肥販売収入</v>
      </c>
      <c r="C27" s="100" t="s">
        <v>37</v>
      </c>
      <c r="D27" s="101"/>
      <c r="E27" s="97">
        <f>E28*E29</f>
        <v>0</v>
      </c>
      <c r="F27" s="97">
        <f t="shared" ref="F27:AH27" si="6">F28*F29</f>
        <v>0</v>
      </c>
      <c r="G27" s="97">
        <f t="shared" si="6"/>
        <v>0</v>
      </c>
      <c r="H27" s="97">
        <f t="shared" si="6"/>
        <v>0</v>
      </c>
      <c r="I27" s="97">
        <f t="shared" si="6"/>
        <v>0</v>
      </c>
      <c r="J27" s="97">
        <f t="shared" si="6"/>
        <v>0</v>
      </c>
      <c r="K27" s="97">
        <f t="shared" si="6"/>
        <v>0</v>
      </c>
      <c r="L27" s="97">
        <f t="shared" si="6"/>
        <v>0</v>
      </c>
      <c r="M27" s="97">
        <f t="shared" si="6"/>
        <v>0</v>
      </c>
      <c r="N27" s="97">
        <f t="shared" si="6"/>
        <v>0</v>
      </c>
      <c r="O27" s="97">
        <f t="shared" si="6"/>
        <v>0</v>
      </c>
      <c r="P27" s="97">
        <f t="shared" si="6"/>
        <v>0</v>
      </c>
      <c r="Q27" s="97">
        <f t="shared" si="6"/>
        <v>0</v>
      </c>
      <c r="R27" s="97">
        <f t="shared" si="6"/>
        <v>0</v>
      </c>
      <c r="S27" s="97">
        <f t="shared" si="6"/>
        <v>0</v>
      </c>
      <c r="T27" s="97">
        <f t="shared" si="6"/>
        <v>0</v>
      </c>
      <c r="U27" s="97">
        <f t="shared" si="6"/>
        <v>0</v>
      </c>
      <c r="V27" s="97">
        <f t="shared" si="6"/>
        <v>0</v>
      </c>
      <c r="W27" s="97">
        <f t="shared" si="6"/>
        <v>0</v>
      </c>
      <c r="X27" s="97">
        <f t="shared" si="6"/>
        <v>0</v>
      </c>
      <c r="Y27" s="97">
        <f t="shared" si="6"/>
        <v>0</v>
      </c>
      <c r="Z27" s="97">
        <f t="shared" si="6"/>
        <v>0</v>
      </c>
      <c r="AA27" s="97">
        <f t="shared" si="6"/>
        <v>0</v>
      </c>
      <c r="AB27" s="97">
        <f t="shared" si="6"/>
        <v>0</v>
      </c>
      <c r="AC27" s="97">
        <f t="shared" si="6"/>
        <v>0</v>
      </c>
      <c r="AD27" s="97">
        <f t="shared" si="6"/>
        <v>0</v>
      </c>
      <c r="AE27" s="97">
        <f t="shared" si="6"/>
        <v>0</v>
      </c>
      <c r="AF27" s="97">
        <f t="shared" si="6"/>
        <v>0</v>
      </c>
      <c r="AG27" s="97">
        <f t="shared" si="6"/>
        <v>0</v>
      </c>
      <c r="AH27" s="97">
        <f t="shared" si="6"/>
        <v>0</v>
      </c>
      <c r="AI27" s="61">
        <f>SUM(E27:AH27)</f>
        <v>0</v>
      </c>
    </row>
    <row r="28" spans="2:35" x14ac:dyDescent="0.25">
      <c r="B28" s="612" t="s">
        <v>441</v>
      </c>
      <c r="C28" s="100" t="str">
        <f>インプット!D18</f>
        <v>円/トン</v>
      </c>
      <c r="D28" s="101"/>
      <c r="E28" s="97">
        <f>インプット!$E$18</f>
        <v>0</v>
      </c>
      <c r="F28" s="97">
        <f>インプット!$E$18</f>
        <v>0</v>
      </c>
      <c r="G28" s="97">
        <f>インプット!$E$18</f>
        <v>0</v>
      </c>
      <c r="H28" s="97">
        <f>インプット!$E$18</f>
        <v>0</v>
      </c>
      <c r="I28" s="97">
        <f>インプット!$E$18</f>
        <v>0</v>
      </c>
      <c r="J28" s="97">
        <f>インプット!$E$18</f>
        <v>0</v>
      </c>
      <c r="K28" s="97">
        <f>インプット!$E$18</f>
        <v>0</v>
      </c>
      <c r="L28" s="97">
        <f>インプット!$E$18</f>
        <v>0</v>
      </c>
      <c r="M28" s="97">
        <f>インプット!$E$18</f>
        <v>0</v>
      </c>
      <c r="N28" s="97">
        <f>インプット!$E$18</f>
        <v>0</v>
      </c>
      <c r="O28" s="97">
        <f>インプット!$E$18</f>
        <v>0</v>
      </c>
      <c r="P28" s="97">
        <f>インプット!$E$18</f>
        <v>0</v>
      </c>
      <c r="Q28" s="97">
        <f>インプット!$E$18</f>
        <v>0</v>
      </c>
      <c r="R28" s="97">
        <f>インプット!$E$18</f>
        <v>0</v>
      </c>
      <c r="S28" s="97">
        <f>インプット!$E$18</f>
        <v>0</v>
      </c>
      <c r="T28" s="97">
        <f>インプット!$E$18</f>
        <v>0</v>
      </c>
      <c r="U28" s="97">
        <f>インプット!$E$18</f>
        <v>0</v>
      </c>
      <c r="V28" s="97">
        <f>インプット!$E$18</f>
        <v>0</v>
      </c>
      <c r="W28" s="97">
        <f>インプット!$E$18</f>
        <v>0</v>
      </c>
      <c r="X28" s="97">
        <f>インプット!$E$18</f>
        <v>0</v>
      </c>
      <c r="Y28" s="97">
        <f>インプット!$E$18</f>
        <v>0</v>
      </c>
      <c r="Z28" s="97">
        <f>インプット!$E$18</f>
        <v>0</v>
      </c>
      <c r="AA28" s="97">
        <f>インプット!$E$18</f>
        <v>0</v>
      </c>
      <c r="AB28" s="97">
        <f>インプット!$E$18</f>
        <v>0</v>
      </c>
      <c r="AC28" s="97">
        <f>インプット!$E$18</f>
        <v>0</v>
      </c>
      <c r="AD28" s="97">
        <f>インプット!$E$18</f>
        <v>0</v>
      </c>
      <c r="AE28" s="97">
        <f>インプット!$E$18</f>
        <v>0</v>
      </c>
      <c r="AF28" s="97">
        <f>インプット!$E$18</f>
        <v>0</v>
      </c>
      <c r="AG28" s="97">
        <f>インプット!$E$18</f>
        <v>0</v>
      </c>
      <c r="AH28" s="97">
        <f>インプット!$E$18</f>
        <v>0</v>
      </c>
      <c r="AI28" s="61"/>
    </row>
    <row r="29" spans="2:35" x14ac:dyDescent="0.25">
      <c r="B29" s="613" t="s">
        <v>442</v>
      </c>
      <c r="C29" s="614" t="s">
        <v>440</v>
      </c>
      <c r="D29" s="615"/>
      <c r="E29" s="616">
        <f>インプット!$E$19*E$5*365</f>
        <v>0</v>
      </c>
      <c r="F29" s="616">
        <f>インプット!$E$19*F$5*365</f>
        <v>0</v>
      </c>
      <c r="G29" s="616">
        <f>インプット!$E$19*G$5*365</f>
        <v>0</v>
      </c>
      <c r="H29" s="616">
        <f>インプット!$E$19*H$5*365</f>
        <v>0</v>
      </c>
      <c r="I29" s="616">
        <f>インプット!$E$19*I$5*365</f>
        <v>0</v>
      </c>
      <c r="J29" s="616">
        <f>インプット!$E$19*J$5*365</f>
        <v>0</v>
      </c>
      <c r="K29" s="616">
        <f>インプット!$E$19*K$5*365</f>
        <v>0</v>
      </c>
      <c r="L29" s="616">
        <f>インプット!$E$19*L$5*365</f>
        <v>0</v>
      </c>
      <c r="M29" s="616">
        <f>インプット!$E$19*M$5*365</f>
        <v>0</v>
      </c>
      <c r="N29" s="616">
        <f>インプット!$E$19*N$5*365</f>
        <v>0</v>
      </c>
      <c r="O29" s="616">
        <f>インプット!$E$19*O$5*365</f>
        <v>0</v>
      </c>
      <c r="P29" s="616">
        <f>インプット!$E$19*P$5*365</f>
        <v>0</v>
      </c>
      <c r="Q29" s="616">
        <f>インプット!$E$19*Q$5*365</f>
        <v>0</v>
      </c>
      <c r="R29" s="616">
        <f>インプット!$E$19*R$5*365</f>
        <v>0</v>
      </c>
      <c r="S29" s="616">
        <f>インプット!$E$19*S$5*365</f>
        <v>0</v>
      </c>
      <c r="T29" s="616">
        <f>インプット!$E$19*T$5*365</f>
        <v>0</v>
      </c>
      <c r="U29" s="616">
        <f>インプット!$E$19*U$5*365</f>
        <v>0</v>
      </c>
      <c r="V29" s="616">
        <f>インプット!$E$19*V$5*365</f>
        <v>0</v>
      </c>
      <c r="W29" s="616">
        <f>インプット!$E$19*W$5*365</f>
        <v>0</v>
      </c>
      <c r="X29" s="616">
        <f>インプット!$E$19*X$5*365</f>
        <v>0</v>
      </c>
      <c r="Y29" s="616">
        <f>インプット!$E$19*Y$5*365</f>
        <v>0</v>
      </c>
      <c r="Z29" s="616">
        <f>インプット!$E$19*Z$5*365</f>
        <v>0</v>
      </c>
      <c r="AA29" s="616">
        <f>インプット!$E$19*AA$5*365</f>
        <v>0</v>
      </c>
      <c r="AB29" s="616">
        <f>インプット!$E$19*AB$5*365</f>
        <v>0</v>
      </c>
      <c r="AC29" s="616">
        <f>インプット!$E$19*AC$5*365</f>
        <v>0</v>
      </c>
      <c r="AD29" s="616">
        <f>インプット!$E$19*AD$5*365</f>
        <v>0</v>
      </c>
      <c r="AE29" s="616">
        <f>インプット!$E$19*AE$5*365</f>
        <v>0</v>
      </c>
      <c r="AF29" s="616">
        <f>インプット!$E$19*AF$5*365</f>
        <v>0</v>
      </c>
      <c r="AG29" s="616">
        <f>インプット!$E$19*AG$5*365</f>
        <v>0</v>
      </c>
      <c r="AH29" s="616">
        <f>インプット!$E$19*AH$5*365</f>
        <v>0</v>
      </c>
      <c r="AI29" s="645"/>
    </row>
    <row r="30" spans="2:35" x14ac:dyDescent="0.25">
      <c r="B30" s="99" t="str">
        <f>インプット!A20&amp;" "&amp;インプット!B20&amp;"販売収入"</f>
        <v>その他収益② 堆肥販売収入</v>
      </c>
      <c r="C30" s="100" t="s">
        <v>37</v>
      </c>
      <c r="D30" s="101"/>
      <c r="E30" s="97">
        <f>E31*E32</f>
        <v>0</v>
      </c>
      <c r="F30" s="97">
        <f t="shared" ref="F30:AH30" si="7">F31*F32</f>
        <v>0</v>
      </c>
      <c r="G30" s="97">
        <f t="shared" si="7"/>
        <v>0</v>
      </c>
      <c r="H30" s="97">
        <f t="shared" si="7"/>
        <v>0</v>
      </c>
      <c r="I30" s="97">
        <f t="shared" si="7"/>
        <v>0</v>
      </c>
      <c r="J30" s="97">
        <f t="shared" si="7"/>
        <v>0</v>
      </c>
      <c r="K30" s="97">
        <f t="shared" si="7"/>
        <v>0</v>
      </c>
      <c r="L30" s="97">
        <f t="shared" si="7"/>
        <v>0</v>
      </c>
      <c r="M30" s="97">
        <f t="shared" si="7"/>
        <v>0</v>
      </c>
      <c r="N30" s="97">
        <f t="shared" si="7"/>
        <v>0</v>
      </c>
      <c r="O30" s="97">
        <f t="shared" si="7"/>
        <v>0</v>
      </c>
      <c r="P30" s="97">
        <f t="shared" si="7"/>
        <v>0</v>
      </c>
      <c r="Q30" s="97">
        <f t="shared" si="7"/>
        <v>0</v>
      </c>
      <c r="R30" s="97">
        <f t="shared" si="7"/>
        <v>0</v>
      </c>
      <c r="S30" s="97">
        <f t="shared" si="7"/>
        <v>0</v>
      </c>
      <c r="T30" s="97">
        <f t="shared" si="7"/>
        <v>0</v>
      </c>
      <c r="U30" s="97">
        <f t="shared" si="7"/>
        <v>0</v>
      </c>
      <c r="V30" s="97">
        <f t="shared" si="7"/>
        <v>0</v>
      </c>
      <c r="W30" s="97">
        <f t="shared" si="7"/>
        <v>0</v>
      </c>
      <c r="X30" s="97">
        <f t="shared" si="7"/>
        <v>0</v>
      </c>
      <c r="Y30" s="97">
        <f t="shared" si="7"/>
        <v>0</v>
      </c>
      <c r="Z30" s="97">
        <f t="shared" si="7"/>
        <v>0</v>
      </c>
      <c r="AA30" s="97">
        <f t="shared" si="7"/>
        <v>0</v>
      </c>
      <c r="AB30" s="97">
        <f t="shared" si="7"/>
        <v>0</v>
      </c>
      <c r="AC30" s="97">
        <f t="shared" si="7"/>
        <v>0</v>
      </c>
      <c r="AD30" s="97">
        <f t="shared" si="7"/>
        <v>0</v>
      </c>
      <c r="AE30" s="97">
        <f t="shared" si="7"/>
        <v>0</v>
      </c>
      <c r="AF30" s="97">
        <f t="shared" si="7"/>
        <v>0</v>
      </c>
      <c r="AG30" s="97">
        <f t="shared" si="7"/>
        <v>0</v>
      </c>
      <c r="AH30" s="97">
        <f t="shared" si="7"/>
        <v>0</v>
      </c>
      <c r="AI30" s="61">
        <f>SUM(E30:AH30)</f>
        <v>0</v>
      </c>
    </row>
    <row r="31" spans="2:35" x14ac:dyDescent="0.25">
      <c r="B31" s="612" t="s">
        <v>441</v>
      </c>
      <c r="C31" s="100" t="str">
        <f>インプット!D20</f>
        <v>円/（単位を入力）</v>
      </c>
      <c r="D31" s="101"/>
      <c r="E31" s="97">
        <f>インプット!$E$20</f>
        <v>0</v>
      </c>
      <c r="F31" s="97">
        <f>インプット!$E$20</f>
        <v>0</v>
      </c>
      <c r="G31" s="97">
        <f>インプット!$E$20</f>
        <v>0</v>
      </c>
      <c r="H31" s="97">
        <f>インプット!$E$20</f>
        <v>0</v>
      </c>
      <c r="I31" s="97">
        <f>インプット!$E$20</f>
        <v>0</v>
      </c>
      <c r="J31" s="97">
        <f>インプット!$E$20</f>
        <v>0</v>
      </c>
      <c r="K31" s="97">
        <f>インプット!$E$20</f>
        <v>0</v>
      </c>
      <c r="L31" s="97">
        <f>インプット!$E$20</f>
        <v>0</v>
      </c>
      <c r="M31" s="97">
        <f>インプット!$E$20</f>
        <v>0</v>
      </c>
      <c r="N31" s="97">
        <f>インプット!$E$20</f>
        <v>0</v>
      </c>
      <c r="O31" s="97">
        <f>インプット!$E$20</f>
        <v>0</v>
      </c>
      <c r="P31" s="97">
        <f>インプット!$E$20</f>
        <v>0</v>
      </c>
      <c r="Q31" s="97">
        <f>インプット!$E$20</f>
        <v>0</v>
      </c>
      <c r="R31" s="97">
        <f>インプット!$E$20</f>
        <v>0</v>
      </c>
      <c r="S31" s="97">
        <f>インプット!$E$20</f>
        <v>0</v>
      </c>
      <c r="T31" s="97">
        <f>インプット!$E$20</f>
        <v>0</v>
      </c>
      <c r="U31" s="97">
        <f>インプット!$E$20</f>
        <v>0</v>
      </c>
      <c r="V31" s="97">
        <f>インプット!$E$20</f>
        <v>0</v>
      </c>
      <c r="W31" s="97">
        <f>インプット!$E$20</f>
        <v>0</v>
      </c>
      <c r="X31" s="97">
        <f>インプット!$E$20</f>
        <v>0</v>
      </c>
      <c r="Y31" s="97">
        <f>インプット!$E$20</f>
        <v>0</v>
      </c>
      <c r="Z31" s="97">
        <f>インプット!$E$20</f>
        <v>0</v>
      </c>
      <c r="AA31" s="97">
        <f>インプット!$E$20</f>
        <v>0</v>
      </c>
      <c r="AB31" s="97">
        <f>インプット!$E$20</f>
        <v>0</v>
      </c>
      <c r="AC31" s="97">
        <f>インプット!$E$20</f>
        <v>0</v>
      </c>
      <c r="AD31" s="97">
        <f>インプット!$E$20</f>
        <v>0</v>
      </c>
      <c r="AE31" s="97">
        <f>インプット!$E$20</f>
        <v>0</v>
      </c>
      <c r="AF31" s="97">
        <f>インプット!$E$20</f>
        <v>0</v>
      </c>
      <c r="AG31" s="97">
        <f>インプット!$E$20</f>
        <v>0</v>
      </c>
      <c r="AH31" s="97">
        <f>インプット!$E$20</f>
        <v>0</v>
      </c>
      <c r="AI31" s="61"/>
    </row>
    <row r="32" spans="2:35" x14ac:dyDescent="0.25">
      <c r="B32" s="613" t="s">
        <v>442</v>
      </c>
      <c r="C32" s="614" t="s">
        <v>440</v>
      </c>
      <c r="D32" s="615"/>
      <c r="E32" s="616">
        <f>インプット!$E$21*E$5*365</f>
        <v>0</v>
      </c>
      <c r="F32" s="616">
        <f>インプット!$E$21*F$5*365</f>
        <v>0</v>
      </c>
      <c r="G32" s="616">
        <f>インプット!$E$21*G$5*365</f>
        <v>0</v>
      </c>
      <c r="H32" s="616">
        <f>インプット!$E$21*H$5*365</f>
        <v>0</v>
      </c>
      <c r="I32" s="616">
        <f>インプット!$E$21*I$5*365</f>
        <v>0</v>
      </c>
      <c r="J32" s="616">
        <f>インプット!$E$21*J$5*365</f>
        <v>0</v>
      </c>
      <c r="K32" s="616">
        <f>インプット!$E$21*K$5*365</f>
        <v>0</v>
      </c>
      <c r="L32" s="616">
        <f>インプット!$E$21*L$5*365</f>
        <v>0</v>
      </c>
      <c r="M32" s="616">
        <f>インプット!$E$21*M$5*365</f>
        <v>0</v>
      </c>
      <c r="N32" s="616">
        <f>インプット!$E$21*N$5*365</f>
        <v>0</v>
      </c>
      <c r="O32" s="616">
        <f>インプット!$E$21*O$5*365</f>
        <v>0</v>
      </c>
      <c r="P32" s="616">
        <f>インプット!$E$21*P$5*365</f>
        <v>0</v>
      </c>
      <c r="Q32" s="616">
        <f>インプット!$E$21*Q$5*365</f>
        <v>0</v>
      </c>
      <c r="R32" s="616">
        <f>インプット!$E$21*R$5*365</f>
        <v>0</v>
      </c>
      <c r="S32" s="616">
        <f>インプット!$E$21*S$5*365</f>
        <v>0</v>
      </c>
      <c r="T32" s="616">
        <f>インプット!$E$21*T$5*365</f>
        <v>0</v>
      </c>
      <c r="U32" s="616">
        <f>インプット!$E$21*U$5*365</f>
        <v>0</v>
      </c>
      <c r="V32" s="616">
        <f>インプット!$E$21*V$5*365</f>
        <v>0</v>
      </c>
      <c r="W32" s="616">
        <f>インプット!$E$21*W$5*365</f>
        <v>0</v>
      </c>
      <c r="X32" s="616">
        <f>インプット!$E$21*X$5*365</f>
        <v>0</v>
      </c>
      <c r="Y32" s="616">
        <f>インプット!$E$21*Y$5*365</f>
        <v>0</v>
      </c>
      <c r="Z32" s="616">
        <f>インプット!$E$21*Z$5*365</f>
        <v>0</v>
      </c>
      <c r="AA32" s="616">
        <f>インプット!$E$21*AA$5*365</f>
        <v>0</v>
      </c>
      <c r="AB32" s="616">
        <f>インプット!$E$21*AB$5*365</f>
        <v>0</v>
      </c>
      <c r="AC32" s="616">
        <f>インプット!$E$21*AC$5*365</f>
        <v>0</v>
      </c>
      <c r="AD32" s="616">
        <f>インプット!$E$21*AD$5*365</f>
        <v>0</v>
      </c>
      <c r="AE32" s="616">
        <f>インプット!$E$21*AE$5*365</f>
        <v>0</v>
      </c>
      <c r="AF32" s="616">
        <f>インプット!$E$21*AF$5*365</f>
        <v>0</v>
      </c>
      <c r="AG32" s="616">
        <f>インプット!$E$21*AG$5*365</f>
        <v>0</v>
      </c>
      <c r="AH32" s="616">
        <f>インプット!$E$21*AH$5*365</f>
        <v>0</v>
      </c>
      <c r="AI32" s="645"/>
    </row>
    <row r="33" spans="2:35" x14ac:dyDescent="0.25">
      <c r="B33" s="99" t="str">
        <f>インプット!A22&amp;" "&amp;インプット!B22&amp;"販売収入"</f>
        <v>その他収益③ その他①販売収入</v>
      </c>
      <c r="C33" s="100" t="s">
        <v>37</v>
      </c>
      <c r="D33" s="101"/>
      <c r="E33" s="97">
        <f>E34*E35</f>
        <v>0</v>
      </c>
      <c r="F33" s="97">
        <f t="shared" ref="F33:AH33" si="8">F34*F35</f>
        <v>0</v>
      </c>
      <c r="G33" s="97">
        <f t="shared" si="8"/>
        <v>0</v>
      </c>
      <c r="H33" s="97">
        <f t="shared" si="8"/>
        <v>0</v>
      </c>
      <c r="I33" s="97">
        <f t="shared" si="8"/>
        <v>0</v>
      </c>
      <c r="J33" s="97">
        <f t="shared" si="8"/>
        <v>0</v>
      </c>
      <c r="K33" s="97">
        <f t="shared" si="8"/>
        <v>0</v>
      </c>
      <c r="L33" s="97">
        <f t="shared" si="8"/>
        <v>0</v>
      </c>
      <c r="M33" s="97">
        <f t="shared" si="8"/>
        <v>0</v>
      </c>
      <c r="N33" s="97">
        <f t="shared" si="8"/>
        <v>0</v>
      </c>
      <c r="O33" s="97">
        <f t="shared" si="8"/>
        <v>0</v>
      </c>
      <c r="P33" s="97">
        <f t="shared" si="8"/>
        <v>0</v>
      </c>
      <c r="Q33" s="97">
        <f t="shared" si="8"/>
        <v>0</v>
      </c>
      <c r="R33" s="97">
        <f t="shared" si="8"/>
        <v>0</v>
      </c>
      <c r="S33" s="97">
        <f t="shared" si="8"/>
        <v>0</v>
      </c>
      <c r="T33" s="97">
        <f t="shared" si="8"/>
        <v>0</v>
      </c>
      <c r="U33" s="97">
        <f t="shared" si="8"/>
        <v>0</v>
      </c>
      <c r="V33" s="97">
        <f t="shared" si="8"/>
        <v>0</v>
      </c>
      <c r="W33" s="97">
        <f t="shared" si="8"/>
        <v>0</v>
      </c>
      <c r="X33" s="97">
        <f t="shared" si="8"/>
        <v>0</v>
      </c>
      <c r="Y33" s="97">
        <f t="shared" si="8"/>
        <v>0</v>
      </c>
      <c r="Z33" s="97">
        <f t="shared" si="8"/>
        <v>0</v>
      </c>
      <c r="AA33" s="97">
        <f t="shared" si="8"/>
        <v>0</v>
      </c>
      <c r="AB33" s="97">
        <f t="shared" si="8"/>
        <v>0</v>
      </c>
      <c r="AC33" s="97">
        <f t="shared" si="8"/>
        <v>0</v>
      </c>
      <c r="AD33" s="97">
        <f t="shared" si="8"/>
        <v>0</v>
      </c>
      <c r="AE33" s="97">
        <f t="shared" si="8"/>
        <v>0</v>
      </c>
      <c r="AF33" s="97">
        <f t="shared" si="8"/>
        <v>0</v>
      </c>
      <c r="AG33" s="97">
        <f t="shared" si="8"/>
        <v>0</v>
      </c>
      <c r="AH33" s="97">
        <f t="shared" si="8"/>
        <v>0</v>
      </c>
      <c r="AI33" s="61">
        <f>SUM(E33:AH33)</f>
        <v>0</v>
      </c>
    </row>
    <row r="34" spans="2:35" x14ac:dyDescent="0.25">
      <c r="B34" s="612" t="s">
        <v>441</v>
      </c>
      <c r="C34" s="100" t="str">
        <f>インプット!D22</f>
        <v>円/（単位を入力）</v>
      </c>
      <c r="D34" s="101"/>
      <c r="E34" s="97">
        <f>インプット!$E$22</f>
        <v>0</v>
      </c>
      <c r="F34" s="97">
        <f>インプット!$E$22</f>
        <v>0</v>
      </c>
      <c r="G34" s="97">
        <f>インプット!$E$22</f>
        <v>0</v>
      </c>
      <c r="H34" s="97">
        <f>インプット!$E$22</f>
        <v>0</v>
      </c>
      <c r="I34" s="97">
        <f>インプット!$E$22</f>
        <v>0</v>
      </c>
      <c r="J34" s="97">
        <f>インプット!$E$22</f>
        <v>0</v>
      </c>
      <c r="K34" s="97">
        <f>インプット!$E$22</f>
        <v>0</v>
      </c>
      <c r="L34" s="97">
        <f>インプット!$E$22</f>
        <v>0</v>
      </c>
      <c r="M34" s="97">
        <f>インプット!$E$22</f>
        <v>0</v>
      </c>
      <c r="N34" s="97">
        <f>インプット!$E$22</f>
        <v>0</v>
      </c>
      <c r="O34" s="97">
        <f>インプット!$E$22</f>
        <v>0</v>
      </c>
      <c r="P34" s="97">
        <f>インプット!$E$22</f>
        <v>0</v>
      </c>
      <c r="Q34" s="97">
        <f>インプット!$E$22</f>
        <v>0</v>
      </c>
      <c r="R34" s="97">
        <f>インプット!$E$22</f>
        <v>0</v>
      </c>
      <c r="S34" s="97">
        <f>インプット!$E$22</f>
        <v>0</v>
      </c>
      <c r="T34" s="97">
        <f>インプット!$E$22</f>
        <v>0</v>
      </c>
      <c r="U34" s="97">
        <f>インプット!$E$22</f>
        <v>0</v>
      </c>
      <c r="V34" s="97">
        <f>インプット!$E$22</f>
        <v>0</v>
      </c>
      <c r="W34" s="97">
        <f>インプット!$E$22</f>
        <v>0</v>
      </c>
      <c r="X34" s="97">
        <f>インプット!$E$22</f>
        <v>0</v>
      </c>
      <c r="Y34" s="97">
        <f>インプット!$E$22</f>
        <v>0</v>
      </c>
      <c r="Z34" s="97">
        <f>インプット!$E$22</f>
        <v>0</v>
      </c>
      <c r="AA34" s="97">
        <f>インプット!$E$22</f>
        <v>0</v>
      </c>
      <c r="AB34" s="97">
        <f>インプット!$E$22</f>
        <v>0</v>
      </c>
      <c r="AC34" s="97">
        <f>インプット!$E$22</f>
        <v>0</v>
      </c>
      <c r="AD34" s="97">
        <f>インプット!$E$22</f>
        <v>0</v>
      </c>
      <c r="AE34" s="97">
        <f>インプット!$E$22</f>
        <v>0</v>
      </c>
      <c r="AF34" s="97">
        <f>インプット!$E$22</f>
        <v>0</v>
      </c>
      <c r="AG34" s="97">
        <f>インプット!$E$22</f>
        <v>0</v>
      </c>
      <c r="AH34" s="97">
        <f>インプット!$E$22</f>
        <v>0</v>
      </c>
      <c r="AI34" s="61"/>
    </row>
    <row r="35" spans="2:35" s="19" customFormat="1" x14ac:dyDescent="0.25">
      <c r="B35" s="613" t="s">
        <v>442</v>
      </c>
      <c r="C35" s="614" t="s">
        <v>440</v>
      </c>
      <c r="D35" s="615"/>
      <c r="E35" s="616">
        <f>インプット!$E$23*E$5*365</f>
        <v>0</v>
      </c>
      <c r="F35" s="616">
        <f>インプット!$E$23*F$5*365</f>
        <v>0</v>
      </c>
      <c r="G35" s="616">
        <f>インプット!$E$23*G$5*365</f>
        <v>0</v>
      </c>
      <c r="H35" s="616">
        <f>インプット!$E$23*H$5*365</f>
        <v>0</v>
      </c>
      <c r="I35" s="616">
        <f>インプット!$E$23*I$5*365</f>
        <v>0</v>
      </c>
      <c r="J35" s="616">
        <f>インプット!$E$23*J$5*365</f>
        <v>0</v>
      </c>
      <c r="K35" s="616">
        <f>インプット!$E$23*K$5*365</f>
        <v>0</v>
      </c>
      <c r="L35" s="616">
        <f>インプット!$E$23*L$5*365</f>
        <v>0</v>
      </c>
      <c r="M35" s="616">
        <f>インプット!$E$23*M$5*365</f>
        <v>0</v>
      </c>
      <c r="N35" s="616">
        <f>インプット!$E$23*N$5*365</f>
        <v>0</v>
      </c>
      <c r="O35" s="616">
        <f>インプット!$E$23*O$5*365</f>
        <v>0</v>
      </c>
      <c r="P35" s="616">
        <f>インプット!$E$23*P$5*365</f>
        <v>0</v>
      </c>
      <c r="Q35" s="616">
        <f>インプット!$E$23*Q$5*365</f>
        <v>0</v>
      </c>
      <c r="R35" s="616">
        <f>インプット!$E$23*R$5*365</f>
        <v>0</v>
      </c>
      <c r="S35" s="616">
        <f>インプット!$E$23*S$5*365</f>
        <v>0</v>
      </c>
      <c r="T35" s="616">
        <f>インプット!$E$23*T$5*365</f>
        <v>0</v>
      </c>
      <c r="U35" s="616">
        <f>インプット!$E$23*U$5*365</f>
        <v>0</v>
      </c>
      <c r="V35" s="616">
        <f>インプット!$E$23*V$5*365</f>
        <v>0</v>
      </c>
      <c r="W35" s="616">
        <f>インプット!$E$23*W$5*365</f>
        <v>0</v>
      </c>
      <c r="X35" s="616">
        <f>インプット!$E$23*X$5*365</f>
        <v>0</v>
      </c>
      <c r="Y35" s="616">
        <f>インプット!$E$23*Y$5*365</f>
        <v>0</v>
      </c>
      <c r="Z35" s="616">
        <f>インプット!$E$23*Z$5*365</f>
        <v>0</v>
      </c>
      <c r="AA35" s="616">
        <f>インプット!$E$23*AA$5*365</f>
        <v>0</v>
      </c>
      <c r="AB35" s="616">
        <f>インプット!$E$23*AB$5*365</f>
        <v>0</v>
      </c>
      <c r="AC35" s="616">
        <f>インプット!$E$23*AC$5*365</f>
        <v>0</v>
      </c>
      <c r="AD35" s="616">
        <f>インプット!$E$23*AD$5*365</f>
        <v>0</v>
      </c>
      <c r="AE35" s="616">
        <f>インプット!$E$23*AE$5*365</f>
        <v>0</v>
      </c>
      <c r="AF35" s="616">
        <f>インプット!$E$23*AF$5*365</f>
        <v>0</v>
      </c>
      <c r="AG35" s="616">
        <f>インプット!$E$23*AG$5*365</f>
        <v>0</v>
      </c>
      <c r="AH35" s="616">
        <f>インプット!$E$23*AH$5*365</f>
        <v>0</v>
      </c>
      <c r="AI35" s="645"/>
    </row>
    <row r="36" spans="2:35" x14ac:dyDescent="0.25">
      <c r="B36" s="99" t="str">
        <f>インプット!A24&amp;" "&amp;インプット!B24&amp;"販売収入"</f>
        <v>その他収益④ その他②販売収入</v>
      </c>
      <c r="C36" s="100" t="s">
        <v>37</v>
      </c>
      <c r="D36" s="101"/>
      <c r="E36" s="97">
        <f>E37*E38</f>
        <v>0</v>
      </c>
      <c r="F36" s="97">
        <f t="shared" ref="F36:AH36" si="9">F37*F38</f>
        <v>0</v>
      </c>
      <c r="G36" s="97">
        <f t="shared" si="9"/>
        <v>0</v>
      </c>
      <c r="H36" s="97">
        <f t="shared" si="9"/>
        <v>0</v>
      </c>
      <c r="I36" s="97">
        <f t="shared" si="9"/>
        <v>0</v>
      </c>
      <c r="J36" s="97">
        <f t="shared" si="9"/>
        <v>0</v>
      </c>
      <c r="K36" s="97">
        <f t="shared" si="9"/>
        <v>0</v>
      </c>
      <c r="L36" s="97">
        <f t="shared" si="9"/>
        <v>0</v>
      </c>
      <c r="M36" s="97">
        <f t="shared" si="9"/>
        <v>0</v>
      </c>
      <c r="N36" s="97">
        <f t="shared" si="9"/>
        <v>0</v>
      </c>
      <c r="O36" s="97">
        <f t="shared" si="9"/>
        <v>0</v>
      </c>
      <c r="P36" s="97">
        <f t="shared" si="9"/>
        <v>0</v>
      </c>
      <c r="Q36" s="97">
        <f t="shared" si="9"/>
        <v>0</v>
      </c>
      <c r="R36" s="97">
        <f t="shared" si="9"/>
        <v>0</v>
      </c>
      <c r="S36" s="97">
        <f t="shared" si="9"/>
        <v>0</v>
      </c>
      <c r="T36" s="97">
        <f t="shared" si="9"/>
        <v>0</v>
      </c>
      <c r="U36" s="97">
        <f t="shared" si="9"/>
        <v>0</v>
      </c>
      <c r="V36" s="97">
        <f t="shared" si="9"/>
        <v>0</v>
      </c>
      <c r="W36" s="97">
        <f t="shared" si="9"/>
        <v>0</v>
      </c>
      <c r="X36" s="97">
        <f t="shared" si="9"/>
        <v>0</v>
      </c>
      <c r="Y36" s="97">
        <f t="shared" si="9"/>
        <v>0</v>
      </c>
      <c r="Z36" s="97">
        <f t="shared" si="9"/>
        <v>0</v>
      </c>
      <c r="AA36" s="97">
        <f t="shared" si="9"/>
        <v>0</v>
      </c>
      <c r="AB36" s="97">
        <f t="shared" si="9"/>
        <v>0</v>
      </c>
      <c r="AC36" s="97">
        <f t="shared" si="9"/>
        <v>0</v>
      </c>
      <c r="AD36" s="97">
        <f t="shared" si="9"/>
        <v>0</v>
      </c>
      <c r="AE36" s="97">
        <f t="shared" si="9"/>
        <v>0</v>
      </c>
      <c r="AF36" s="97">
        <f t="shared" si="9"/>
        <v>0</v>
      </c>
      <c r="AG36" s="97">
        <f t="shared" si="9"/>
        <v>0</v>
      </c>
      <c r="AH36" s="97">
        <f t="shared" si="9"/>
        <v>0</v>
      </c>
      <c r="AI36" s="61">
        <f>SUM(E36:AH36)</f>
        <v>0</v>
      </c>
    </row>
    <row r="37" spans="2:35" x14ac:dyDescent="0.25">
      <c r="B37" s="612" t="s">
        <v>441</v>
      </c>
      <c r="C37" s="100" t="str">
        <f>インプット!D24</f>
        <v>円/（単位を入力）</v>
      </c>
      <c r="D37" s="101"/>
      <c r="E37" s="97">
        <f>インプット!$E$24</f>
        <v>0</v>
      </c>
      <c r="F37" s="97">
        <f>インプット!$E$24</f>
        <v>0</v>
      </c>
      <c r="G37" s="97">
        <f>インプット!$E$24</f>
        <v>0</v>
      </c>
      <c r="H37" s="97">
        <f>インプット!$E$24</f>
        <v>0</v>
      </c>
      <c r="I37" s="97">
        <f>インプット!$E$24</f>
        <v>0</v>
      </c>
      <c r="J37" s="97">
        <f>インプット!$E$24</f>
        <v>0</v>
      </c>
      <c r="K37" s="97">
        <f>インプット!$E$24</f>
        <v>0</v>
      </c>
      <c r="L37" s="97">
        <f>インプット!$E$24</f>
        <v>0</v>
      </c>
      <c r="M37" s="97">
        <f>インプット!$E$24</f>
        <v>0</v>
      </c>
      <c r="N37" s="97">
        <f>インプット!$E$24</f>
        <v>0</v>
      </c>
      <c r="O37" s="97">
        <f>インプット!$E$24</f>
        <v>0</v>
      </c>
      <c r="P37" s="97">
        <f>インプット!$E$24</f>
        <v>0</v>
      </c>
      <c r="Q37" s="97">
        <f>インプット!$E$24</f>
        <v>0</v>
      </c>
      <c r="R37" s="97">
        <f>インプット!$E$24</f>
        <v>0</v>
      </c>
      <c r="S37" s="97">
        <f>インプット!$E$24</f>
        <v>0</v>
      </c>
      <c r="T37" s="97">
        <f>インプット!$E$24</f>
        <v>0</v>
      </c>
      <c r="U37" s="97">
        <f>インプット!$E$24</f>
        <v>0</v>
      </c>
      <c r="V37" s="97">
        <f>インプット!$E$24</f>
        <v>0</v>
      </c>
      <c r="W37" s="97">
        <f>インプット!$E$24</f>
        <v>0</v>
      </c>
      <c r="X37" s="97">
        <f>インプット!$E$24</f>
        <v>0</v>
      </c>
      <c r="Y37" s="97">
        <f>インプット!$E$24</f>
        <v>0</v>
      </c>
      <c r="Z37" s="97">
        <f>インプット!$E$24</f>
        <v>0</v>
      </c>
      <c r="AA37" s="97">
        <f>インプット!$E$24</f>
        <v>0</v>
      </c>
      <c r="AB37" s="97">
        <f>インプット!$E$24</f>
        <v>0</v>
      </c>
      <c r="AC37" s="97">
        <f>インプット!$E$24</f>
        <v>0</v>
      </c>
      <c r="AD37" s="97">
        <f>インプット!$E$24</f>
        <v>0</v>
      </c>
      <c r="AE37" s="97">
        <f>インプット!$E$24</f>
        <v>0</v>
      </c>
      <c r="AF37" s="97">
        <f>インプット!$E$24</f>
        <v>0</v>
      </c>
      <c r="AG37" s="97">
        <f>インプット!$E$24</f>
        <v>0</v>
      </c>
      <c r="AH37" s="97">
        <f>インプット!$E$24</f>
        <v>0</v>
      </c>
      <c r="AI37" s="61"/>
    </row>
    <row r="38" spans="2:35" s="19" customFormat="1" x14ac:dyDescent="0.25">
      <c r="B38" s="613" t="s">
        <v>442</v>
      </c>
      <c r="C38" s="614" t="s">
        <v>440</v>
      </c>
      <c r="D38" s="615"/>
      <c r="E38" s="616">
        <f>インプット!$E$25*E$5*365</f>
        <v>0</v>
      </c>
      <c r="F38" s="616">
        <f>インプット!$E$25*F$5*365</f>
        <v>0</v>
      </c>
      <c r="G38" s="616">
        <f>インプット!$E$25*G$5*365</f>
        <v>0</v>
      </c>
      <c r="H38" s="616">
        <f>インプット!$E$25*H$5*365</f>
        <v>0</v>
      </c>
      <c r="I38" s="616">
        <f>インプット!$E$25*I$5*365</f>
        <v>0</v>
      </c>
      <c r="J38" s="616">
        <f>インプット!$E$25*J$5*365</f>
        <v>0</v>
      </c>
      <c r="K38" s="616">
        <f>インプット!$E$25*K$5*365</f>
        <v>0</v>
      </c>
      <c r="L38" s="616">
        <f>インプット!$E$25*L$5*365</f>
        <v>0</v>
      </c>
      <c r="M38" s="616">
        <f>インプット!$E$25*M$5*365</f>
        <v>0</v>
      </c>
      <c r="N38" s="616">
        <f>インプット!$E$25*N$5*365</f>
        <v>0</v>
      </c>
      <c r="O38" s="616">
        <f>インプット!$E$25*O$5*365</f>
        <v>0</v>
      </c>
      <c r="P38" s="616">
        <f>インプット!$E$25*P$5*365</f>
        <v>0</v>
      </c>
      <c r="Q38" s="616">
        <f>インプット!$E$25*Q$5*365</f>
        <v>0</v>
      </c>
      <c r="R38" s="616">
        <f>インプット!$E$25*R$5*365</f>
        <v>0</v>
      </c>
      <c r="S38" s="616">
        <f>インプット!$E$25*S$5*365</f>
        <v>0</v>
      </c>
      <c r="T38" s="616">
        <f>インプット!$E$25*T$5*365</f>
        <v>0</v>
      </c>
      <c r="U38" s="616">
        <f>インプット!$E$25*U$5*365</f>
        <v>0</v>
      </c>
      <c r="V38" s="616">
        <f>インプット!$E$25*V$5*365</f>
        <v>0</v>
      </c>
      <c r="W38" s="616">
        <f>インプット!$E$25*W$5*365</f>
        <v>0</v>
      </c>
      <c r="X38" s="616">
        <f>インプット!$E$25*X$5*365</f>
        <v>0</v>
      </c>
      <c r="Y38" s="616">
        <f>インプット!$E$25*Y$5*365</f>
        <v>0</v>
      </c>
      <c r="Z38" s="616">
        <f>インプット!$E$25*Z$5*365</f>
        <v>0</v>
      </c>
      <c r="AA38" s="616">
        <f>インプット!$E$25*AA$5*365</f>
        <v>0</v>
      </c>
      <c r="AB38" s="616">
        <f>インプット!$E$25*AB$5*365</f>
        <v>0</v>
      </c>
      <c r="AC38" s="616">
        <f>インプット!$E$25*AC$5*365</f>
        <v>0</v>
      </c>
      <c r="AD38" s="616">
        <f>インプット!$E$25*AD$5*365</f>
        <v>0</v>
      </c>
      <c r="AE38" s="616">
        <f>インプット!$E$25*AE$5*365</f>
        <v>0</v>
      </c>
      <c r="AF38" s="616">
        <f>インプット!$E$25*AF$5*365</f>
        <v>0</v>
      </c>
      <c r="AG38" s="616">
        <f>インプット!$E$25*AG$5*365</f>
        <v>0</v>
      </c>
      <c r="AH38" s="616">
        <f>インプット!$E$25*AH$5*365</f>
        <v>0</v>
      </c>
      <c r="AI38" s="645"/>
    </row>
    <row r="39" spans="2:35" x14ac:dyDescent="0.25">
      <c r="B39" s="99" t="str">
        <f>インプット!A26&amp;" "&amp;インプット!B26&amp;"販売収入"</f>
        <v>その他収益⑤ その他③販売収入</v>
      </c>
      <c r="C39" s="100" t="s">
        <v>37</v>
      </c>
      <c r="D39" s="101"/>
      <c r="E39" s="97">
        <f>E40*E41</f>
        <v>330000</v>
      </c>
      <c r="F39" s="97">
        <f t="shared" ref="F39:AH39" si="10">F40*F41</f>
        <v>330000</v>
      </c>
      <c r="G39" s="97">
        <f t="shared" si="10"/>
        <v>330000</v>
      </c>
      <c r="H39" s="97">
        <f t="shared" si="10"/>
        <v>330000</v>
      </c>
      <c r="I39" s="97">
        <f t="shared" si="10"/>
        <v>330000</v>
      </c>
      <c r="J39" s="97">
        <f t="shared" si="10"/>
        <v>330000</v>
      </c>
      <c r="K39" s="97">
        <f t="shared" si="10"/>
        <v>330000</v>
      </c>
      <c r="L39" s="97">
        <f t="shared" si="10"/>
        <v>330000</v>
      </c>
      <c r="M39" s="97">
        <f t="shared" si="10"/>
        <v>330000</v>
      </c>
      <c r="N39" s="97">
        <f t="shared" si="10"/>
        <v>330000</v>
      </c>
      <c r="O39" s="97">
        <f t="shared" si="10"/>
        <v>330000</v>
      </c>
      <c r="P39" s="97">
        <f t="shared" si="10"/>
        <v>330000</v>
      </c>
      <c r="Q39" s="97">
        <f t="shared" si="10"/>
        <v>330000</v>
      </c>
      <c r="R39" s="97">
        <f t="shared" si="10"/>
        <v>330000</v>
      </c>
      <c r="S39" s="97">
        <f t="shared" si="10"/>
        <v>330000</v>
      </c>
      <c r="T39" s="97">
        <f t="shared" si="10"/>
        <v>330000</v>
      </c>
      <c r="U39" s="97">
        <f t="shared" si="10"/>
        <v>330000</v>
      </c>
      <c r="V39" s="97">
        <f t="shared" si="10"/>
        <v>330000</v>
      </c>
      <c r="W39" s="97">
        <f t="shared" si="10"/>
        <v>330000</v>
      </c>
      <c r="X39" s="97">
        <f t="shared" si="10"/>
        <v>330000</v>
      </c>
      <c r="Y39" s="97">
        <f t="shared" si="10"/>
        <v>330000</v>
      </c>
      <c r="Z39" s="97">
        <f t="shared" si="10"/>
        <v>330000</v>
      </c>
      <c r="AA39" s="97">
        <f t="shared" si="10"/>
        <v>330000</v>
      </c>
      <c r="AB39" s="97">
        <f t="shared" si="10"/>
        <v>330000</v>
      </c>
      <c r="AC39" s="97">
        <f t="shared" si="10"/>
        <v>330000</v>
      </c>
      <c r="AD39" s="97">
        <f t="shared" si="10"/>
        <v>330000</v>
      </c>
      <c r="AE39" s="97">
        <f t="shared" si="10"/>
        <v>330000</v>
      </c>
      <c r="AF39" s="97">
        <f t="shared" si="10"/>
        <v>330000</v>
      </c>
      <c r="AG39" s="97">
        <f t="shared" si="10"/>
        <v>330000</v>
      </c>
      <c r="AH39" s="97">
        <f t="shared" si="10"/>
        <v>330000</v>
      </c>
      <c r="AI39" s="61">
        <f>SUM(E39:AH39)</f>
        <v>9900000</v>
      </c>
    </row>
    <row r="40" spans="2:35" x14ac:dyDescent="0.25">
      <c r="B40" s="612" t="s">
        <v>441</v>
      </c>
      <c r="C40" s="100" t="str">
        <f>インプット!D26</f>
        <v>円/（単位を入力）</v>
      </c>
      <c r="D40" s="101"/>
      <c r="E40" s="97">
        <f>インプット!$E$26</f>
        <v>500</v>
      </c>
      <c r="F40" s="97">
        <f>インプット!$E$26</f>
        <v>500</v>
      </c>
      <c r="G40" s="97">
        <f>インプット!$E$26</f>
        <v>500</v>
      </c>
      <c r="H40" s="97">
        <f>インプット!$E$26</f>
        <v>500</v>
      </c>
      <c r="I40" s="97">
        <f>インプット!$E$26</f>
        <v>500</v>
      </c>
      <c r="J40" s="97">
        <f>インプット!$E$26</f>
        <v>500</v>
      </c>
      <c r="K40" s="97">
        <f>インプット!$E$26</f>
        <v>500</v>
      </c>
      <c r="L40" s="97">
        <f>インプット!$E$26</f>
        <v>500</v>
      </c>
      <c r="M40" s="97">
        <f>インプット!$E$26</f>
        <v>500</v>
      </c>
      <c r="N40" s="97">
        <f>インプット!$E$26</f>
        <v>500</v>
      </c>
      <c r="O40" s="97">
        <f>インプット!$E$26</f>
        <v>500</v>
      </c>
      <c r="P40" s="97">
        <f>インプット!$E$26</f>
        <v>500</v>
      </c>
      <c r="Q40" s="97">
        <f>インプット!$E$26</f>
        <v>500</v>
      </c>
      <c r="R40" s="97">
        <f>インプット!$E$26</f>
        <v>500</v>
      </c>
      <c r="S40" s="97">
        <f>インプット!$E$26</f>
        <v>500</v>
      </c>
      <c r="T40" s="97">
        <f>インプット!$E$26</f>
        <v>500</v>
      </c>
      <c r="U40" s="97">
        <f>インプット!$E$26</f>
        <v>500</v>
      </c>
      <c r="V40" s="97">
        <f>インプット!$E$26</f>
        <v>500</v>
      </c>
      <c r="W40" s="97">
        <f>インプット!$E$26</f>
        <v>500</v>
      </c>
      <c r="X40" s="97">
        <f>インプット!$E$26</f>
        <v>500</v>
      </c>
      <c r="Y40" s="97">
        <f>インプット!$E$26</f>
        <v>500</v>
      </c>
      <c r="Z40" s="97">
        <f>インプット!$E$26</f>
        <v>500</v>
      </c>
      <c r="AA40" s="97">
        <f>インプット!$E$26</f>
        <v>500</v>
      </c>
      <c r="AB40" s="97">
        <f>インプット!$E$26</f>
        <v>500</v>
      </c>
      <c r="AC40" s="97">
        <f>インプット!$E$26</f>
        <v>500</v>
      </c>
      <c r="AD40" s="97">
        <f>インプット!$E$26</f>
        <v>500</v>
      </c>
      <c r="AE40" s="97">
        <f>インプット!$E$26</f>
        <v>500</v>
      </c>
      <c r="AF40" s="97">
        <f>インプット!$E$26</f>
        <v>500</v>
      </c>
      <c r="AG40" s="97">
        <f>インプット!$E$26</f>
        <v>500</v>
      </c>
      <c r="AH40" s="97">
        <f>インプット!$E$26</f>
        <v>500</v>
      </c>
      <c r="AI40" s="61"/>
    </row>
    <row r="41" spans="2:35" x14ac:dyDescent="0.25">
      <c r="B41" s="612" t="s">
        <v>442</v>
      </c>
      <c r="C41" s="100" t="s">
        <v>440</v>
      </c>
      <c r="D41" s="615"/>
      <c r="E41" s="616">
        <f>インプット!$E$27*E$5*365</f>
        <v>660</v>
      </c>
      <c r="F41" s="616">
        <f>インプット!$E$27*F$5*365</f>
        <v>660</v>
      </c>
      <c r="G41" s="616">
        <f>インプット!$E$27*G$5*365</f>
        <v>660</v>
      </c>
      <c r="H41" s="616">
        <f>インプット!$E$27*H$5*365</f>
        <v>660</v>
      </c>
      <c r="I41" s="616">
        <f>インプット!$E$27*I$5*365</f>
        <v>660</v>
      </c>
      <c r="J41" s="616">
        <f>インプット!$E$27*J$5*365</f>
        <v>660</v>
      </c>
      <c r="K41" s="616">
        <f>インプット!$E$27*K$5*365</f>
        <v>660</v>
      </c>
      <c r="L41" s="616">
        <f>インプット!$E$27*L$5*365</f>
        <v>660</v>
      </c>
      <c r="M41" s="616">
        <f>インプット!$E$27*M$5*365</f>
        <v>660</v>
      </c>
      <c r="N41" s="616">
        <f>インプット!$E$27*N$5*365</f>
        <v>660</v>
      </c>
      <c r="O41" s="616">
        <f>インプット!$E$27*O$5*365</f>
        <v>660</v>
      </c>
      <c r="P41" s="616">
        <f>インプット!$E$27*P$5*365</f>
        <v>660</v>
      </c>
      <c r="Q41" s="616">
        <f>インプット!$E$27*Q$5*365</f>
        <v>660</v>
      </c>
      <c r="R41" s="616">
        <f>インプット!$E$27*R$5*365</f>
        <v>660</v>
      </c>
      <c r="S41" s="616">
        <f>インプット!$E$27*S$5*365</f>
        <v>660</v>
      </c>
      <c r="T41" s="616">
        <f>インプット!$E$27*T$5*365</f>
        <v>660</v>
      </c>
      <c r="U41" s="616">
        <f>インプット!$E$27*U$5*365</f>
        <v>660</v>
      </c>
      <c r="V41" s="616">
        <f>インプット!$E$27*V$5*365</f>
        <v>660</v>
      </c>
      <c r="W41" s="616">
        <f>インプット!$E$27*W$5*365</f>
        <v>660</v>
      </c>
      <c r="X41" s="616">
        <f>インプット!$E$27*X$5*365</f>
        <v>660</v>
      </c>
      <c r="Y41" s="616">
        <f>インプット!$E$27*Y$5*365</f>
        <v>660</v>
      </c>
      <c r="Z41" s="616">
        <f>インプット!$E$27*Z$5*365</f>
        <v>660</v>
      </c>
      <c r="AA41" s="616">
        <f>インプット!$E$27*AA$5*365</f>
        <v>660</v>
      </c>
      <c r="AB41" s="616">
        <f>インプット!$E$27*AB$5*365</f>
        <v>660</v>
      </c>
      <c r="AC41" s="616">
        <f>インプット!$E$27*AC$5*365</f>
        <v>660</v>
      </c>
      <c r="AD41" s="616">
        <f>インプット!$E$27*AD$5*365</f>
        <v>660</v>
      </c>
      <c r="AE41" s="616">
        <f>インプット!$E$27*AE$5*365</f>
        <v>660</v>
      </c>
      <c r="AF41" s="616">
        <f>インプット!$E$27*AF$5*365</f>
        <v>660</v>
      </c>
      <c r="AG41" s="616">
        <f>インプット!$E$27*AG$5*365</f>
        <v>660</v>
      </c>
      <c r="AH41" s="616">
        <f>インプット!$E$27*AH$5*365</f>
        <v>660</v>
      </c>
      <c r="AI41" s="61"/>
    </row>
    <row r="42" spans="2:35" x14ac:dyDescent="0.25">
      <c r="B42" s="40" t="s">
        <v>12</v>
      </c>
      <c r="C42" s="41" t="s">
        <v>13</v>
      </c>
      <c r="D42" s="42"/>
      <c r="E42" s="127">
        <f>SUM(E17,E22,E27,E30,E33,E36,E39)</f>
        <v>68600664.902343765</v>
      </c>
      <c r="F42" s="127">
        <f t="shared" ref="F42:AH42" si="11">SUM(F17,F22,F27,F30,F33,F36,F39)</f>
        <v>68600664.902343765</v>
      </c>
      <c r="G42" s="127">
        <f t="shared" si="11"/>
        <v>68600664.902343765</v>
      </c>
      <c r="H42" s="127">
        <f t="shared" si="11"/>
        <v>68600664.902343765</v>
      </c>
      <c r="I42" s="127">
        <f t="shared" si="11"/>
        <v>68600664.902343765</v>
      </c>
      <c r="J42" s="127">
        <f t="shared" si="11"/>
        <v>68600664.902343765</v>
      </c>
      <c r="K42" s="127">
        <f t="shared" si="11"/>
        <v>68600664.902343765</v>
      </c>
      <c r="L42" s="127">
        <f t="shared" si="11"/>
        <v>68600664.902343765</v>
      </c>
      <c r="M42" s="127">
        <f t="shared" si="11"/>
        <v>68600664.902343765</v>
      </c>
      <c r="N42" s="127">
        <f t="shared" si="11"/>
        <v>68600664.902343765</v>
      </c>
      <c r="O42" s="127">
        <f t="shared" si="11"/>
        <v>68600664.902343765</v>
      </c>
      <c r="P42" s="127">
        <f t="shared" si="11"/>
        <v>68600664.902343765</v>
      </c>
      <c r="Q42" s="127">
        <f t="shared" si="11"/>
        <v>68600664.902343765</v>
      </c>
      <c r="R42" s="127">
        <f t="shared" si="11"/>
        <v>68600664.902343765</v>
      </c>
      <c r="S42" s="127">
        <f t="shared" si="11"/>
        <v>68600664.902343765</v>
      </c>
      <c r="T42" s="127">
        <f t="shared" si="11"/>
        <v>68600664.902343765</v>
      </c>
      <c r="U42" s="127">
        <f t="shared" si="11"/>
        <v>68600664.902343765</v>
      </c>
      <c r="V42" s="127">
        <f t="shared" si="11"/>
        <v>68600664.902343765</v>
      </c>
      <c r="W42" s="127">
        <f t="shared" si="11"/>
        <v>68600664.902343765</v>
      </c>
      <c r="X42" s="127">
        <f t="shared" si="11"/>
        <v>68600664.902343765</v>
      </c>
      <c r="Y42" s="127">
        <f t="shared" si="11"/>
        <v>68600664.902343765</v>
      </c>
      <c r="Z42" s="127">
        <f t="shared" si="11"/>
        <v>68600664.902343765</v>
      </c>
      <c r="AA42" s="127">
        <f t="shared" si="11"/>
        <v>68600664.902343765</v>
      </c>
      <c r="AB42" s="127">
        <f t="shared" si="11"/>
        <v>68600664.902343765</v>
      </c>
      <c r="AC42" s="127">
        <f t="shared" si="11"/>
        <v>68600664.902343765</v>
      </c>
      <c r="AD42" s="127">
        <f t="shared" si="11"/>
        <v>68600664.902343765</v>
      </c>
      <c r="AE42" s="127">
        <f t="shared" si="11"/>
        <v>68600664.902343765</v>
      </c>
      <c r="AF42" s="127">
        <f t="shared" si="11"/>
        <v>68600664.902343765</v>
      </c>
      <c r="AG42" s="127">
        <f t="shared" si="11"/>
        <v>68600664.902343765</v>
      </c>
      <c r="AH42" s="132">
        <f t="shared" si="11"/>
        <v>68600664.902343765</v>
      </c>
      <c r="AI42" s="43">
        <f>SUM(AI17,AI22,AI27,AI30,AI33)</f>
        <v>2048119947.0703127</v>
      </c>
    </row>
    <row r="43" spans="2:35" x14ac:dyDescent="0.25">
      <c r="B43" s="44" t="s">
        <v>14</v>
      </c>
      <c r="C43" s="45" t="s">
        <v>11</v>
      </c>
      <c r="D43" s="141"/>
      <c r="E43" s="46">
        <f>SUM(E44,E59:E64)</f>
        <v>-148820242.07953683</v>
      </c>
      <c r="F43" s="46">
        <f t="shared" ref="F43:AH43" si="12">SUM(F44,F59:F64)</f>
        <v>-148820242.07953683</v>
      </c>
      <c r="G43" s="46">
        <f t="shared" si="12"/>
        <v>-148820242.07953683</v>
      </c>
      <c r="H43" s="46">
        <f t="shared" si="12"/>
        <v>-148820242.07953683</v>
      </c>
      <c r="I43" s="46">
        <f t="shared" si="12"/>
        <v>-148820242.07953683</v>
      </c>
      <c r="J43" s="46">
        <f t="shared" si="12"/>
        <v>-148820242.07953683</v>
      </c>
      <c r="K43" s="46">
        <f t="shared" si="12"/>
        <v>-148820242.07953683</v>
      </c>
      <c r="L43" s="46">
        <f t="shared" si="12"/>
        <v>-148820242.07953683</v>
      </c>
      <c r="M43" s="46">
        <f t="shared" si="12"/>
        <v>-148820242.07953683</v>
      </c>
      <c r="N43" s="46">
        <f t="shared" si="12"/>
        <v>-148820242.07953683</v>
      </c>
      <c r="O43" s="46">
        <f t="shared" si="12"/>
        <v>-148820242.07953683</v>
      </c>
      <c r="P43" s="46">
        <f t="shared" si="12"/>
        <v>-148820242.07953683</v>
      </c>
      <c r="Q43" s="46">
        <f t="shared" si="12"/>
        <v>-148820242.07953683</v>
      </c>
      <c r="R43" s="46">
        <f t="shared" si="12"/>
        <v>-148820242.07953683</v>
      </c>
      <c r="S43" s="46">
        <f t="shared" si="12"/>
        <v>-148820242.07953683</v>
      </c>
      <c r="T43" s="46">
        <f t="shared" si="12"/>
        <v>-148820242.07953683</v>
      </c>
      <c r="U43" s="46">
        <f t="shared" si="12"/>
        <v>-148820242.07953683</v>
      </c>
      <c r="V43" s="46">
        <f t="shared" si="12"/>
        <v>-148820242.07953683</v>
      </c>
      <c r="W43" s="46">
        <f t="shared" si="12"/>
        <v>-148820242.07953683</v>
      </c>
      <c r="X43" s="46">
        <f t="shared" si="12"/>
        <v>-148820242.07953683</v>
      </c>
      <c r="Y43" s="46">
        <f t="shared" si="12"/>
        <v>-148820242.07953683</v>
      </c>
      <c r="Z43" s="46">
        <f t="shared" si="12"/>
        <v>-148820242.07953683</v>
      </c>
      <c r="AA43" s="46">
        <f t="shared" si="12"/>
        <v>-148820242.07953683</v>
      </c>
      <c r="AB43" s="46">
        <f t="shared" si="12"/>
        <v>-148820242.07953683</v>
      </c>
      <c r="AC43" s="46">
        <f t="shared" si="12"/>
        <v>-148820242.07953683</v>
      </c>
      <c r="AD43" s="46">
        <f t="shared" si="12"/>
        <v>-148820242.07953683</v>
      </c>
      <c r="AE43" s="46">
        <f t="shared" si="12"/>
        <v>-148820242.07953683</v>
      </c>
      <c r="AF43" s="46">
        <f t="shared" si="12"/>
        <v>-148820242.07953683</v>
      </c>
      <c r="AG43" s="46">
        <f t="shared" si="12"/>
        <v>-148820242.07953683</v>
      </c>
      <c r="AH43" s="133">
        <f t="shared" si="12"/>
        <v>-148820242.07953683</v>
      </c>
      <c r="AI43" s="47">
        <f t="shared" ref="AI43:AI64" si="13">SUM(E43:AH43)</f>
        <v>-4464607262.3861055</v>
      </c>
    </row>
    <row r="44" spans="2:35" x14ac:dyDescent="0.25">
      <c r="B44" s="98" t="s">
        <v>44</v>
      </c>
      <c r="C44" s="36" t="s">
        <v>11</v>
      </c>
      <c r="D44" s="142"/>
      <c r="E44" s="48">
        <f>E45*E46+E47*E48+E49*E50+E51*E52+E53*E54+E55*E56+E57*E58</f>
        <v>-231000000</v>
      </c>
      <c r="F44" s="48">
        <f t="shared" ref="F44:AH44" si="14">F45*F46+F47*F48+F49*F50+F51*F52+F53*F54+F55*F56+F57*F58</f>
        <v>-231000000</v>
      </c>
      <c r="G44" s="48">
        <f t="shared" si="14"/>
        <v>-231000000</v>
      </c>
      <c r="H44" s="48">
        <f t="shared" si="14"/>
        <v>-231000000</v>
      </c>
      <c r="I44" s="48">
        <f t="shared" si="14"/>
        <v>-231000000</v>
      </c>
      <c r="J44" s="48">
        <f t="shared" si="14"/>
        <v>-231000000</v>
      </c>
      <c r="K44" s="48">
        <f t="shared" si="14"/>
        <v>-231000000</v>
      </c>
      <c r="L44" s="48">
        <f t="shared" si="14"/>
        <v>-231000000</v>
      </c>
      <c r="M44" s="48">
        <f t="shared" si="14"/>
        <v>-231000000</v>
      </c>
      <c r="N44" s="48">
        <f t="shared" si="14"/>
        <v>-231000000</v>
      </c>
      <c r="O44" s="48">
        <f t="shared" si="14"/>
        <v>-231000000</v>
      </c>
      <c r="P44" s="48">
        <f t="shared" si="14"/>
        <v>-231000000</v>
      </c>
      <c r="Q44" s="48">
        <f t="shared" si="14"/>
        <v>-231000000</v>
      </c>
      <c r="R44" s="48">
        <f t="shared" si="14"/>
        <v>-231000000</v>
      </c>
      <c r="S44" s="48">
        <f t="shared" si="14"/>
        <v>-231000000</v>
      </c>
      <c r="T44" s="48">
        <f t="shared" si="14"/>
        <v>-231000000</v>
      </c>
      <c r="U44" s="48">
        <f t="shared" si="14"/>
        <v>-231000000</v>
      </c>
      <c r="V44" s="48">
        <f t="shared" si="14"/>
        <v>-231000000</v>
      </c>
      <c r="W44" s="48">
        <f t="shared" si="14"/>
        <v>-231000000</v>
      </c>
      <c r="X44" s="48">
        <f t="shared" si="14"/>
        <v>-231000000</v>
      </c>
      <c r="Y44" s="48">
        <f t="shared" si="14"/>
        <v>-231000000</v>
      </c>
      <c r="Z44" s="48">
        <f t="shared" si="14"/>
        <v>-231000000</v>
      </c>
      <c r="AA44" s="48">
        <f t="shared" si="14"/>
        <v>-231000000</v>
      </c>
      <c r="AB44" s="48">
        <f t="shared" si="14"/>
        <v>-231000000</v>
      </c>
      <c r="AC44" s="48">
        <f t="shared" si="14"/>
        <v>-231000000</v>
      </c>
      <c r="AD44" s="48">
        <f t="shared" si="14"/>
        <v>-231000000</v>
      </c>
      <c r="AE44" s="48">
        <f t="shared" si="14"/>
        <v>-231000000</v>
      </c>
      <c r="AF44" s="48">
        <f t="shared" si="14"/>
        <v>-231000000</v>
      </c>
      <c r="AG44" s="48">
        <f t="shared" si="14"/>
        <v>-231000000</v>
      </c>
      <c r="AH44" s="129">
        <f t="shared" si="14"/>
        <v>-231000000</v>
      </c>
      <c r="AI44" s="51">
        <f t="shared" si="13"/>
        <v>-6930000000</v>
      </c>
    </row>
    <row r="45" spans="2:35" x14ac:dyDescent="0.25">
      <c r="B45" s="104" t="str">
        <f>インプット!B29&amp;"調達量"</f>
        <v>食品廃棄物調達量</v>
      </c>
      <c r="C45" s="105" t="s">
        <v>126</v>
      </c>
      <c r="D45" s="143"/>
      <c r="E45" s="262">
        <f>インプット!$E$30*365*24*E$5</f>
        <v>16500</v>
      </c>
      <c r="F45" s="262">
        <f>インプット!$E$30*365*24*F$5</f>
        <v>16500</v>
      </c>
      <c r="G45" s="262">
        <f>インプット!$E$30*365*24*G$5</f>
        <v>16500</v>
      </c>
      <c r="H45" s="262">
        <f>インプット!$E$30*365*24*H$5</f>
        <v>16500</v>
      </c>
      <c r="I45" s="262">
        <f>インプット!$E$30*365*24*I$5</f>
        <v>16500</v>
      </c>
      <c r="J45" s="262">
        <f>インプット!$E$30*365*24*J$5</f>
        <v>16500</v>
      </c>
      <c r="K45" s="262">
        <f>インプット!$E$30*365*24*K$5</f>
        <v>16500</v>
      </c>
      <c r="L45" s="262">
        <f>インプット!$E$30*365*24*L$5</f>
        <v>16500</v>
      </c>
      <c r="M45" s="262">
        <f>インプット!$E$30*365*24*M$5</f>
        <v>16500</v>
      </c>
      <c r="N45" s="262">
        <f>インプット!$E$30*365*24*N$5</f>
        <v>16500</v>
      </c>
      <c r="O45" s="262">
        <f>インプット!$E$30*365*24*O$5</f>
        <v>16500</v>
      </c>
      <c r="P45" s="262">
        <f>インプット!$E$30*365*24*P$5</f>
        <v>16500</v>
      </c>
      <c r="Q45" s="262">
        <f>インプット!$E$30*365*24*Q$5</f>
        <v>16500</v>
      </c>
      <c r="R45" s="262">
        <f>インプット!$E$30*365*24*R$5</f>
        <v>16500</v>
      </c>
      <c r="S45" s="262">
        <f>インプット!$E$30*365*24*S$5</f>
        <v>16500</v>
      </c>
      <c r="T45" s="262">
        <f>インプット!$E$30*365*24*T$5</f>
        <v>16500</v>
      </c>
      <c r="U45" s="262">
        <f>インプット!$E$30*365*24*U$5</f>
        <v>16500</v>
      </c>
      <c r="V45" s="262">
        <f>インプット!$E$30*365*24*V$5</f>
        <v>16500</v>
      </c>
      <c r="W45" s="262">
        <f>インプット!$E$30*365*24*W$5</f>
        <v>16500</v>
      </c>
      <c r="X45" s="262">
        <f>インプット!$E$30*365*24*X$5</f>
        <v>16500</v>
      </c>
      <c r="Y45" s="262">
        <f>インプット!$E$30*365*24*Y$5</f>
        <v>16500</v>
      </c>
      <c r="Z45" s="262">
        <f>インプット!$E$30*365*24*Z$5</f>
        <v>16500</v>
      </c>
      <c r="AA45" s="262">
        <f>インプット!$E$30*365*24*AA$5</f>
        <v>16500</v>
      </c>
      <c r="AB45" s="262">
        <f>インプット!$E$30*365*24*AB$5</f>
        <v>16500</v>
      </c>
      <c r="AC45" s="262">
        <f>インプット!$E$30*365*24*AC$5</f>
        <v>16500</v>
      </c>
      <c r="AD45" s="262">
        <f>インプット!$E$30*365*24*AD$5</f>
        <v>16500</v>
      </c>
      <c r="AE45" s="262">
        <f>インプット!$E$30*365*24*AE$5</f>
        <v>16500</v>
      </c>
      <c r="AF45" s="262">
        <f>インプット!$E$30*365*24*AF$5</f>
        <v>16500</v>
      </c>
      <c r="AG45" s="262">
        <f>インプット!$E$30*365*24*AG$5</f>
        <v>16500</v>
      </c>
      <c r="AH45" s="263">
        <f>インプット!$E$30*365*24*AH$5</f>
        <v>16500</v>
      </c>
      <c r="AI45" s="191">
        <f t="shared" si="13"/>
        <v>495000</v>
      </c>
    </row>
    <row r="46" spans="2:35" x14ac:dyDescent="0.25">
      <c r="B46" s="104" t="str">
        <f>インプット!B29&amp;"調達価格"</f>
        <v>食品廃棄物調達価格</v>
      </c>
      <c r="C46" s="105" t="s">
        <v>6</v>
      </c>
      <c r="D46" s="52"/>
      <c r="E46" s="264">
        <f>インプット!$E$29</f>
        <v>-14000</v>
      </c>
      <c r="F46" s="264">
        <f>インプット!$E$29</f>
        <v>-14000</v>
      </c>
      <c r="G46" s="264">
        <f>インプット!$E$29</f>
        <v>-14000</v>
      </c>
      <c r="H46" s="264">
        <f>インプット!$E$29</f>
        <v>-14000</v>
      </c>
      <c r="I46" s="264">
        <f>インプット!$E$29</f>
        <v>-14000</v>
      </c>
      <c r="J46" s="264">
        <f>インプット!$E$29</f>
        <v>-14000</v>
      </c>
      <c r="K46" s="264">
        <f>インプット!$E$29</f>
        <v>-14000</v>
      </c>
      <c r="L46" s="264">
        <f>インプット!$E$29</f>
        <v>-14000</v>
      </c>
      <c r="M46" s="264">
        <f>インプット!$E$29</f>
        <v>-14000</v>
      </c>
      <c r="N46" s="264">
        <f>インプット!$E$29</f>
        <v>-14000</v>
      </c>
      <c r="O46" s="264">
        <f>インプット!$E$29</f>
        <v>-14000</v>
      </c>
      <c r="P46" s="264">
        <f>インプット!$E$29</f>
        <v>-14000</v>
      </c>
      <c r="Q46" s="264">
        <f>インプット!$E$29</f>
        <v>-14000</v>
      </c>
      <c r="R46" s="264">
        <f>インプット!$E$29</f>
        <v>-14000</v>
      </c>
      <c r="S46" s="264">
        <f>インプット!$E$29</f>
        <v>-14000</v>
      </c>
      <c r="T46" s="264">
        <f>インプット!$E$29</f>
        <v>-14000</v>
      </c>
      <c r="U46" s="264">
        <f>インプット!$E$29</f>
        <v>-14000</v>
      </c>
      <c r="V46" s="264">
        <f>インプット!$E$29</f>
        <v>-14000</v>
      </c>
      <c r="W46" s="264">
        <f>インプット!$E$29</f>
        <v>-14000</v>
      </c>
      <c r="X46" s="264">
        <f>インプット!$E$29</f>
        <v>-14000</v>
      </c>
      <c r="Y46" s="264">
        <f>インプット!$E$29</f>
        <v>-14000</v>
      </c>
      <c r="Z46" s="264">
        <f>インプット!$E$29</f>
        <v>-14000</v>
      </c>
      <c r="AA46" s="264">
        <f>インプット!$E$29</f>
        <v>-14000</v>
      </c>
      <c r="AB46" s="264">
        <f>インプット!$E$29</f>
        <v>-14000</v>
      </c>
      <c r="AC46" s="264">
        <f>インプット!$E$29</f>
        <v>-14000</v>
      </c>
      <c r="AD46" s="264">
        <f>インプット!$E$29</f>
        <v>-14000</v>
      </c>
      <c r="AE46" s="264">
        <f>インプット!$E$29</f>
        <v>-14000</v>
      </c>
      <c r="AF46" s="264">
        <f>インプット!$E$29</f>
        <v>-14000</v>
      </c>
      <c r="AG46" s="264">
        <f>インプット!$E$29</f>
        <v>-14000</v>
      </c>
      <c r="AH46" s="265">
        <f>インプット!$E$29</f>
        <v>-14000</v>
      </c>
      <c r="AI46" s="191">
        <f t="shared" si="13"/>
        <v>-420000</v>
      </c>
    </row>
    <row r="47" spans="2:35" x14ac:dyDescent="0.25">
      <c r="B47" s="104" t="str">
        <f>インプット!B33&amp;"調達量"</f>
        <v>紙系廃棄物調達量</v>
      </c>
      <c r="C47" s="105" t="s">
        <v>126</v>
      </c>
      <c r="D47" s="106"/>
      <c r="E47" s="262">
        <f>インプット!$E$34*365*24*E$5</f>
        <v>0</v>
      </c>
      <c r="F47" s="262">
        <f>インプット!$E$34*365*24*F$5</f>
        <v>0</v>
      </c>
      <c r="G47" s="262">
        <f>インプット!$E$34*365*24*G$5</f>
        <v>0</v>
      </c>
      <c r="H47" s="262">
        <f>インプット!$E$34*365*24*H$5</f>
        <v>0</v>
      </c>
      <c r="I47" s="262">
        <f>インプット!$E$34*365*24*I$5</f>
        <v>0</v>
      </c>
      <c r="J47" s="262">
        <f>インプット!$E$34*365*24*J$5</f>
        <v>0</v>
      </c>
      <c r="K47" s="262">
        <f>インプット!$E$34*365*24*K$5</f>
        <v>0</v>
      </c>
      <c r="L47" s="262">
        <f>インプット!$E$34*365*24*L$5</f>
        <v>0</v>
      </c>
      <c r="M47" s="262">
        <f>インプット!$E$34*365*24*M$5</f>
        <v>0</v>
      </c>
      <c r="N47" s="262">
        <f>インプット!$E$34*365*24*N$5</f>
        <v>0</v>
      </c>
      <c r="O47" s="262">
        <f>インプット!$E$34*365*24*O$5</f>
        <v>0</v>
      </c>
      <c r="P47" s="262">
        <f>インプット!$E$34*365*24*P$5</f>
        <v>0</v>
      </c>
      <c r="Q47" s="262">
        <f>インプット!$E$34*365*24*Q$5</f>
        <v>0</v>
      </c>
      <c r="R47" s="262">
        <f>インプット!$E$34*365*24*R$5</f>
        <v>0</v>
      </c>
      <c r="S47" s="262">
        <f>インプット!$E$34*365*24*S$5</f>
        <v>0</v>
      </c>
      <c r="T47" s="262">
        <f>インプット!$E$34*365*24*T$5</f>
        <v>0</v>
      </c>
      <c r="U47" s="262">
        <f>インプット!$E$34*365*24*U$5</f>
        <v>0</v>
      </c>
      <c r="V47" s="262">
        <f>インプット!$E$34*365*24*V$5</f>
        <v>0</v>
      </c>
      <c r="W47" s="262">
        <f>インプット!$E$34*365*24*W$5</f>
        <v>0</v>
      </c>
      <c r="X47" s="262">
        <f>インプット!$E$34*365*24*X$5</f>
        <v>0</v>
      </c>
      <c r="Y47" s="262">
        <f>インプット!$E$34*365*24*Y$5</f>
        <v>0</v>
      </c>
      <c r="Z47" s="262">
        <f>インプット!$E$34*365*24*Z$5</f>
        <v>0</v>
      </c>
      <c r="AA47" s="262">
        <f>インプット!$E$34*365*24*AA$5</f>
        <v>0</v>
      </c>
      <c r="AB47" s="262">
        <f>インプット!$E$34*365*24*AB$5</f>
        <v>0</v>
      </c>
      <c r="AC47" s="262">
        <f>インプット!$E$34*365*24*AC$5</f>
        <v>0</v>
      </c>
      <c r="AD47" s="262">
        <f>インプット!$E$34*365*24*AD$5</f>
        <v>0</v>
      </c>
      <c r="AE47" s="262">
        <f>インプット!$E$34*365*24*AE$5</f>
        <v>0</v>
      </c>
      <c r="AF47" s="262">
        <f>インプット!$E$34*365*24*AF$5</f>
        <v>0</v>
      </c>
      <c r="AG47" s="262">
        <f>インプット!$E$34*365*24*AG$5</f>
        <v>0</v>
      </c>
      <c r="AH47" s="263">
        <f>インプット!$E$34*365*24*AH$5</f>
        <v>0</v>
      </c>
      <c r="AI47" s="191">
        <f t="shared" si="13"/>
        <v>0</v>
      </c>
    </row>
    <row r="48" spans="2:35" x14ac:dyDescent="0.25">
      <c r="B48" s="104" t="str">
        <f>インプット!B33&amp;"調達価格"</f>
        <v>紙系廃棄物調達価格</v>
      </c>
      <c r="C48" s="105" t="s">
        <v>6</v>
      </c>
      <c r="D48" s="52"/>
      <c r="E48" s="264">
        <f>インプット!$E$33</f>
        <v>-7000</v>
      </c>
      <c r="F48" s="264">
        <f>インプット!$E$33</f>
        <v>-7000</v>
      </c>
      <c r="G48" s="264">
        <f>インプット!$E$33</f>
        <v>-7000</v>
      </c>
      <c r="H48" s="264">
        <f>インプット!$E$33</f>
        <v>-7000</v>
      </c>
      <c r="I48" s="264">
        <f>インプット!$E$33</f>
        <v>-7000</v>
      </c>
      <c r="J48" s="264">
        <f>インプット!$E$33</f>
        <v>-7000</v>
      </c>
      <c r="K48" s="264">
        <f>インプット!$E$33</f>
        <v>-7000</v>
      </c>
      <c r="L48" s="264">
        <f>インプット!$E$33</f>
        <v>-7000</v>
      </c>
      <c r="M48" s="264">
        <f>インプット!$E$33</f>
        <v>-7000</v>
      </c>
      <c r="N48" s="264">
        <f>インプット!$E$33</f>
        <v>-7000</v>
      </c>
      <c r="O48" s="264">
        <f>インプット!$E$33</f>
        <v>-7000</v>
      </c>
      <c r="P48" s="264">
        <f>インプット!$E$33</f>
        <v>-7000</v>
      </c>
      <c r="Q48" s="264">
        <f>インプット!$E$33</f>
        <v>-7000</v>
      </c>
      <c r="R48" s="264">
        <f>インプット!$E$33</f>
        <v>-7000</v>
      </c>
      <c r="S48" s="264">
        <f>インプット!$E$33</f>
        <v>-7000</v>
      </c>
      <c r="T48" s="264">
        <f>インプット!$E$33</f>
        <v>-7000</v>
      </c>
      <c r="U48" s="264">
        <f>インプット!$E$33</f>
        <v>-7000</v>
      </c>
      <c r="V48" s="264">
        <f>インプット!$E$33</f>
        <v>-7000</v>
      </c>
      <c r="W48" s="264">
        <f>インプット!$E$33</f>
        <v>-7000</v>
      </c>
      <c r="X48" s="264">
        <f>インプット!$E$33</f>
        <v>-7000</v>
      </c>
      <c r="Y48" s="264">
        <f>インプット!$E$33</f>
        <v>-7000</v>
      </c>
      <c r="Z48" s="264">
        <f>インプット!$E$33</f>
        <v>-7000</v>
      </c>
      <c r="AA48" s="264">
        <f>インプット!$E$33</f>
        <v>-7000</v>
      </c>
      <c r="AB48" s="264">
        <f>インプット!$E$33</f>
        <v>-7000</v>
      </c>
      <c r="AC48" s="264">
        <f>インプット!$E$33</f>
        <v>-7000</v>
      </c>
      <c r="AD48" s="264">
        <f>インプット!$E$33</f>
        <v>-7000</v>
      </c>
      <c r="AE48" s="264">
        <f>インプット!$E$33</f>
        <v>-7000</v>
      </c>
      <c r="AF48" s="264">
        <f>インプット!$E$33</f>
        <v>-7000</v>
      </c>
      <c r="AG48" s="264">
        <f>インプット!$E$33</f>
        <v>-7000</v>
      </c>
      <c r="AH48" s="265">
        <f>インプット!$E$33</f>
        <v>-7000</v>
      </c>
      <c r="AI48" s="191">
        <f t="shared" si="13"/>
        <v>-210000</v>
      </c>
    </row>
    <row r="49" spans="1:35" x14ac:dyDescent="0.25">
      <c r="B49" s="104" t="str">
        <f>インプット!B37&amp;"調達量"</f>
        <v>草木系廃棄物調達量</v>
      </c>
      <c r="C49" s="105" t="s">
        <v>126</v>
      </c>
      <c r="D49" s="106"/>
      <c r="E49" s="262">
        <f>インプット!$E$38*365*24*E$5</f>
        <v>0</v>
      </c>
      <c r="F49" s="262">
        <f>インプット!$E$38*365*24*F$5</f>
        <v>0</v>
      </c>
      <c r="G49" s="262">
        <f>インプット!$E$38*365*24*G$5</f>
        <v>0</v>
      </c>
      <c r="H49" s="262">
        <f>インプット!$E$38*365*24*H$5</f>
        <v>0</v>
      </c>
      <c r="I49" s="262">
        <f>インプット!$E$38*365*24*I$5</f>
        <v>0</v>
      </c>
      <c r="J49" s="262">
        <f>インプット!$E$38*365*24*J$5</f>
        <v>0</v>
      </c>
      <c r="K49" s="262">
        <f>インプット!$E$38*365*24*K$5</f>
        <v>0</v>
      </c>
      <c r="L49" s="262">
        <f>インプット!$E$38*365*24*L$5</f>
        <v>0</v>
      </c>
      <c r="M49" s="262">
        <f>インプット!$E$38*365*24*M$5</f>
        <v>0</v>
      </c>
      <c r="N49" s="262">
        <f>インプット!$E$38*365*24*N$5</f>
        <v>0</v>
      </c>
      <c r="O49" s="262">
        <f>インプット!$E$38*365*24*O$5</f>
        <v>0</v>
      </c>
      <c r="P49" s="262">
        <f>インプット!$E$38*365*24*P$5</f>
        <v>0</v>
      </c>
      <c r="Q49" s="262">
        <f>インプット!$E$38*365*24*Q$5</f>
        <v>0</v>
      </c>
      <c r="R49" s="262">
        <f>インプット!$E$38*365*24*R$5</f>
        <v>0</v>
      </c>
      <c r="S49" s="262">
        <f>インプット!$E$38*365*24*S$5</f>
        <v>0</v>
      </c>
      <c r="T49" s="262">
        <f>インプット!$E$38*365*24*T$5</f>
        <v>0</v>
      </c>
      <c r="U49" s="262">
        <f>インプット!$E$38*365*24*U$5</f>
        <v>0</v>
      </c>
      <c r="V49" s="262">
        <f>インプット!$E$38*365*24*V$5</f>
        <v>0</v>
      </c>
      <c r="W49" s="262">
        <f>インプット!$E$38*365*24*W$5</f>
        <v>0</v>
      </c>
      <c r="X49" s="262">
        <f>インプット!$E$38*365*24*X$5</f>
        <v>0</v>
      </c>
      <c r="Y49" s="262">
        <f>インプット!$E$38*365*24*Y$5</f>
        <v>0</v>
      </c>
      <c r="Z49" s="262">
        <f>インプット!$E$38*365*24*Z$5</f>
        <v>0</v>
      </c>
      <c r="AA49" s="262">
        <f>インプット!$E$38*365*24*AA$5</f>
        <v>0</v>
      </c>
      <c r="AB49" s="262">
        <f>インプット!$E$38*365*24*AB$5</f>
        <v>0</v>
      </c>
      <c r="AC49" s="262">
        <f>インプット!$E$38*365*24*AC$5</f>
        <v>0</v>
      </c>
      <c r="AD49" s="262">
        <f>インプット!$E$38*365*24*AD$5</f>
        <v>0</v>
      </c>
      <c r="AE49" s="262">
        <f>インプット!$E$38*365*24*AE$5</f>
        <v>0</v>
      </c>
      <c r="AF49" s="262">
        <f>インプット!$E$38*365*24*AF$5</f>
        <v>0</v>
      </c>
      <c r="AG49" s="262">
        <f>インプット!$E$38*365*24*AG$5</f>
        <v>0</v>
      </c>
      <c r="AH49" s="263">
        <f>インプット!$E$38*365*24*AH$5</f>
        <v>0</v>
      </c>
      <c r="AI49" s="191">
        <f t="shared" si="13"/>
        <v>0</v>
      </c>
    </row>
    <row r="50" spans="1:35" x14ac:dyDescent="0.25">
      <c r="B50" s="104" t="str">
        <f>インプット!B33&amp;"調達価格"</f>
        <v>紙系廃棄物調達価格</v>
      </c>
      <c r="C50" s="105" t="s">
        <v>6</v>
      </c>
      <c r="D50" s="52"/>
      <c r="E50" s="264">
        <f>インプット!$E$37</f>
        <v>-7000</v>
      </c>
      <c r="F50" s="264">
        <f>インプット!$E$37</f>
        <v>-7000</v>
      </c>
      <c r="G50" s="264">
        <f>インプット!$E$37</f>
        <v>-7000</v>
      </c>
      <c r="H50" s="264">
        <f>インプット!$E$37</f>
        <v>-7000</v>
      </c>
      <c r="I50" s="264">
        <f>インプット!$E$37</f>
        <v>-7000</v>
      </c>
      <c r="J50" s="264">
        <f>インプット!$E$37</f>
        <v>-7000</v>
      </c>
      <c r="K50" s="264">
        <f>インプット!$E$37</f>
        <v>-7000</v>
      </c>
      <c r="L50" s="264">
        <f>インプット!$E$37</f>
        <v>-7000</v>
      </c>
      <c r="M50" s="264">
        <f>インプット!$E$37</f>
        <v>-7000</v>
      </c>
      <c r="N50" s="264">
        <f>インプット!$E$37</f>
        <v>-7000</v>
      </c>
      <c r="O50" s="264">
        <f>インプット!$E$37</f>
        <v>-7000</v>
      </c>
      <c r="P50" s="264">
        <f>インプット!$E$37</f>
        <v>-7000</v>
      </c>
      <c r="Q50" s="264">
        <f>インプット!$E$37</f>
        <v>-7000</v>
      </c>
      <c r="R50" s="264">
        <f>インプット!$E$37</f>
        <v>-7000</v>
      </c>
      <c r="S50" s="264">
        <f>インプット!$E$37</f>
        <v>-7000</v>
      </c>
      <c r="T50" s="264">
        <f>インプット!$E$37</f>
        <v>-7000</v>
      </c>
      <c r="U50" s="264">
        <f>インプット!$E$37</f>
        <v>-7000</v>
      </c>
      <c r="V50" s="264">
        <f>インプット!$E$37</f>
        <v>-7000</v>
      </c>
      <c r="W50" s="264">
        <f>インプット!$E$37</f>
        <v>-7000</v>
      </c>
      <c r="X50" s="264">
        <f>インプット!$E$37</f>
        <v>-7000</v>
      </c>
      <c r="Y50" s="264">
        <f>インプット!$E$37</f>
        <v>-7000</v>
      </c>
      <c r="Z50" s="264">
        <f>インプット!$E$37</f>
        <v>-7000</v>
      </c>
      <c r="AA50" s="264">
        <f>インプット!$E$37</f>
        <v>-7000</v>
      </c>
      <c r="AB50" s="264">
        <f>インプット!$E$37</f>
        <v>-7000</v>
      </c>
      <c r="AC50" s="264">
        <f>インプット!$E$37</f>
        <v>-7000</v>
      </c>
      <c r="AD50" s="264">
        <f>インプット!$E$37</f>
        <v>-7000</v>
      </c>
      <c r="AE50" s="264">
        <f>インプット!$E$37</f>
        <v>-7000</v>
      </c>
      <c r="AF50" s="264">
        <f>インプット!$E$37</f>
        <v>-7000</v>
      </c>
      <c r="AG50" s="264">
        <f>インプット!$E$37</f>
        <v>-7000</v>
      </c>
      <c r="AH50" s="265">
        <f>インプット!$E$37</f>
        <v>-7000</v>
      </c>
      <c r="AI50" s="191">
        <f t="shared" si="13"/>
        <v>-210000</v>
      </c>
    </row>
    <row r="51" spans="1:35" x14ac:dyDescent="0.25">
      <c r="B51" s="104" t="str">
        <f>インプット!B41&amp;"調達量"</f>
        <v>豚排泄物調達量</v>
      </c>
      <c r="C51" s="105" t="s">
        <v>126</v>
      </c>
      <c r="D51" s="106"/>
      <c r="E51" s="262">
        <f>インプット!$E$42*365*24*E$5</f>
        <v>0</v>
      </c>
      <c r="F51" s="262">
        <f>インプット!$E$42*365*24*F$5</f>
        <v>0</v>
      </c>
      <c r="G51" s="262">
        <f>インプット!$E$42*365*24*G$5</f>
        <v>0</v>
      </c>
      <c r="H51" s="262">
        <f>インプット!$E$42*365*24*H$5</f>
        <v>0</v>
      </c>
      <c r="I51" s="262">
        <f>インプット!$E$42*365*24*I$5</f>
        <v>0</v>
      </c>
      <c r="J51" s="262">
        <f>インプット!$E$42*365*24*J$5</f>
        <v>0</v>
      </c>
      <c r="K51" s="262">
        <f>インプット!$E$42*365*24*K$5</f>
        <v>0</v>
      </c>
      <c r="L51" s="262">
        <f>インプット!$E$42*365*24*L$5</f>
        <v>0</v>
      </c>
      <c r="M51" s="262">
        <f>インプット!$E$42*365*24*M$5</f>
        <v>0</v>
      </c>
      <c r="N51" s="262">
        <f>インプット!$E$42*365*24*N$5</f>
        <v>0</v>
      </c>
      <c r="O51" s="262">
        <f>インプット!$E$42*365*24*O$5</f>
        <v>0</v>
      </c>
      <c r="P51" s="262">
        <f>インプット!$E$42*365*24*P$5</f>
        <v>0</v>
      </c>
      <c r="Q51" s="262">
        <f>インプット!$E$42*365*24*Q$5</f>
        <v>0</v>
      </c>
      <c r="R51" s="262">
        <f>インプット!$E$42*365*24*R$5</f>
        <v>0</v>
      </c>
      <c r="S51" s="262">
        <f>インプット!$E$42*365*24*S$5</f>
        <v>0</v>
      </c>
      <c r="T51" s="262">
        <f>インプット!$E$42*365*24*T$5</f>
        <v>0</v>
      </c>
      <c r="U51" s="262">
        <f>インプット!$E$42*365*24*U$5</f>
        <v>0</v>
      </c>
      <c r="V51" s="262">
        <f>インプット!$E$42*365*24*V$5</f>
        <v>0</v>
      </c>
      <c r="W51" s="262">
        <f>インプット!$E$42*365*24*W$5</f>
        <v>0</v>
      </c>
      <c r="X51" s="262">
        <f>インプット!$E$42*365*24*X$5</f>
        <v>0</v>
      </c>
      <c r="Y51" s="262">
        <f>インプット!$E$42*365*24*Y$5</f>
        <v>0</v>
      </c>
      <c r="Z51" s="262">
        <f>インプット!$E$42*365*24*Z$5</f>
        <v>0</v>
      </c>
      <c r="AA51" s="262">
        <f>インプット!$E$42*365*24*AA$5</f>
        <v>0</v>
      </c>
      <c r="AB51" s="262">
        <f>インプット!$E$42*365*24*AB$5</f>
        <v>0</v>
      </c>
      <c r="AC51" s="262">
        <f>インプット!$E$42*365*24*AC$5</f>
        <v>0</v>
      </c>
      <c r="AD51" s="262">
        <f>インプット!$E$42*365*24*AD$5</f>
        <v>0</v>
      </c>
      <c r="AE51" s="262">
        <f>インプット!$E$42*365*24*AE$5</f>
        <v>0</v>
      </c>
      <c r="AF51" s="262">
        <f>インプット!$E$42*365*24*AF$5</f>
        <v>0</v>
      </c>
      <c r="AG51" s="262">
        <f>インプット!$E$42*365*24*AG$5</f>
        <v>0</v>
      </c>
      <c r="AH51" s="263">
        <f>インプット!$E$42*365*24*AH$5</f>
        <v>0</v>
      </c>
      <c r="AI51" s="191">
        <f t="shared" si="13"/>
        <v>0</v>
      </c>
    </row>
    <row r="52" spans="1:35" x14ac:dyDescent="0.25">
      <c r="B52" s="104" t="str">
        <f>インプット!B41&amp;"調達価格"</f>
        <v>豚排泄物調達価格</v>
      </c>
      <c r="C52" s="105" t="s">
        <v>6</v>
      </c>
      <c r="D52" s="52"/>
      <c r="E52" s="264">
        <f>インプット!$E$41</f>
        <v>-2000</v>
      </c>
      <c r="F52" s="264">
        <f>インプット!$E$41</f>
        <v>-2000</v>
      </c>
      <c r="G52" s="264">
        <f>インプット!$E$41</f>
        <v>-2000</v>
      </c>
      <c r="H52" s="264">
        <f>インプット!$E$41</f>
        <v>-2000</v>
      </c>
      <c r="I52" s="264">
        <f>インプット!$E$41</f>
        <v>-2000</v>
      </c>
      <c r="J52" s="264">
        <f>インプット!$E$41</f>
        <v>-2000</v>
      </c>
      <c r="K52" s="264">
        <f>インプット!$E$41</f>
        <v>-2000</v>
      </c>
      <c r="L52" s="264">
        <f>インプット!$E$41</f>
        <v>-2000</v>
      </c>
      <c r="M52" s="264">
        <f>インプット!$E$41</f>
        <v>-2000</v>
      </c>
      <c r="N52" s="264">
        <f>インプット!$E$41</f>
        <v>-2000</v>
      </c>
      <c r="O52" s="264">
        <f>インプット!$E$41</f>
        <v>-2000</v>
      </c>
      <c r="P52" s="264">
        <f>インプット!$E$41</f>
        <v>-2000</v>
      </c>
      <c r="Q52" s="264">
        <f>インプット!$E$41</f>
        <v>-2000</v>
      </c>
      <c r="R52" s="264">
        <f>インプット!$E$41</f>
        <v>-2000</v>
      </c>
      <c r="S52" s="264">
        <f>インプット!$E$41</f>
        <v>-2000</v>
      </c>
      <c r="T52" s="264">
        <f>インプット!$E$41</f>
        <v>-2000</v>
      </c>
      <c r="U52" s="264">
        <f>インプット!$E$41</f>
        <v>-2000</v>
      </c>
      <c r="V52" s="264">
        <f>インプット!$E$41</f>
        <v>-2000</v>
      </c>
      <c r="W52" s="264">
        <f>インプット!$E$41</f>
        <v>-2000</v>
      </c>
      <c r="X52" s="264">
        <f>インプット!$E$41</f>
        <v>-2000</v>
      </c>
      <c r="Y52" s="264">
        <f>インプット!$E$41</f>
        <v>-2000</v>
      </c>
      <c r="Z52" s="264">
        <f>インプット!$E$41</f>
        <v>-2000</v>
      </c>
      <c r="AA52" s="264">
        <f>インプット!$E$41</f>
        <v>-2000</v>
      </c>
      <c r="AB52" s="264">
        <f>インプット!$E$41</f>
        <v>-2000</v>
      </c>
      <c r="AC52" s="264">
        <f>インプット!$E$41</f>
        <v>-2000</v>
      </c>
      <c r="AD52" s="264">
        <f>インプット!$E$41</f>
        <v>-2000</v>
      </c>
      <c r="AE52" s="264">
        <f>インプット!$E$41</f>
        <v>-2000</v>
      </c>
      <c r="AF52" s="264">
        <f>インプット!$E$41</f>
        <v>-2000</v>
      </c>
      <c r="AG52" s="264">
        <f>インプット!$E$41</f>
        <v>-2000</v>
      </c>
      <c r="AH52" s="265">
        <f>インプット!$E$41</f>
        <v>-2000</v>
      </c>
      <c r="AI52" s="191">
        <f t="shared" si="13"/>
        <v>-60000</v>
      </c>
    </row>
    <row r="53" spans="1:35" x14ac:dyDescent="0.25">
      <c r="B53" s="104" t="str">
        <f>インプット!B45&amp;"調達量"</f>
        <v>乳牛排泄物調達量</v>
      </c>
      <c r="C53" s="105" t="s">
        <v>126</v>
      </c>
      <c r="D53" s="106"/>
      <c r="E53" s="262">
        <f>インプット!$E$46*365*24*E$5</f>
        <v>0</v>
      </c>
      <c r="F53" s="262">
        <f>インプット!$E$46*365*24*F$5</f>
        <v>0</v>
      </c>
      <c r="G53" s="262">
        <f>インプット!$E$46*365*24*G$5</f>
        <v>0</v>
      </c>
      <c r="H53" s="262">
        <f>インプット!$E$46*365*24*H$5</f>
        <v>0</v>
      </c>
      <c r="I53" s="262">
        <f>インプット!$E$46*365*24*I$5</f>
        <v>0</v>
      </c>
      <c r="J53" s="262">
        <f>インプット!$E$46*365*24*J$5</f>
        <v>0</v>
      </c>
      <c r="K53" s="262">
        <f>インプット!$E$46*365*24*K$5</f>
        <v>0</v>
      </c>
      <c r="L53" s="262">
        <f>インプット!$E$46*365*24*L$5</f>
        <v>0</v>
      </c>
      <c r="M53" s="262">
        <f>インプット!$E$46*365*24*M$5</f>
        <v>0</v>
      </c>
      <c r="N53" s="262">
        <f>インプット!$E$46*365*24*N$5</f>
        <v>0</v>
      </c>
      <c r="O53" s="262">
        <f>インプット!$E$46*365*24*O$5</f>
        <v>0</v>
      </c>
      <c r="P53" s="262">
        <f>インプット!$E$46*365*24*P$5</f>
        <v>0</v>
      </c>
      <c r="Q53" s="262">
        <f>インプット!$E$46*365*24*Q$5</f>
        <v>0</v>
      </c>
      <c r="R53" s="262">
        <f>インプット!$E$46*365*24*R$5</f>
        <v>0</v>
      </c>
      <c r="S53" s="262">
        <f>インプット!$E$46*365*24*S$5</f>
        <v>0</v>
      </c>
      <c r="T53" s="262">
        <f>インプット!$E$46*365*24*T$5</f>
        <v>0</v>
      </c>
      <c r="U53" s="262">
        <f>インプット!$E$46*365*24*U$5</f>
        <v>0</v>
      </c>
      <c r="V53" s="262">
        <f>インプット!$E$46*365*24*V$5</f>
        <v>0</v>
      </c>
      <c r="W53" s="262">
        <f>インプット!$E$46*365*24*W$5</f>
        <v>0</v>
      </c>
      <c r="X53" s="262">
        <f>インプット!$E$46*365*24*X$5</f>
        <v>0</v>
      </c>
      <c r="Y53" s="262">
        <f>インプット!$E$46*365*24*Y$5</f>
        <v>0</v>
      </c>
      <c r="Z53" s="262">
        <f>インプット!$E$46*365*24*Z$5</f>
        <v>0</v>
      </c>
      <c r="AA53" s="262">
        <f>インプット!$E$46*365*24*AA$5</f>
        <v>0</v>
      </c>
      <c r="AB53" s="262">
        <f>インプット!$E$46*365*24*AB$5</f>
        <v>0</v>
      </c>
      <c r="AC53" s="262">
        <f>インプット!$E$46*365*24*AC$5</f>
        <v>0</v>
      </c>
      <c r="AD53" s="262">
        <f>インプット!$E$46*365*24*AD$5</f>
        <v>0</v>
      </c>
      <c r="AE53" s="262">
        <f>インプット!$E$46*365*24*AE$5</f>
        <v>0</v>
      </c>
      <c r="AF53" s="262">
        <f>インプット!$E$46*365*24*AF$5</f>
        <v>0</v>
      </c>
      <c r="AG53" s="262">
        <f>インプット!$E$46*365*24*AG$5</f>
        <v>0</v>
      </c>
      <c r="AH53" s="263">
        <f>インプット!$E$46*365*24*AH$5</f>
        <v>0</v>
      </c>
      <c r="AI53" s="191">
        <f t="shared" si="13"/>
        <v>0</v>
      </c>
    </row>
    <row r="54" spans="1:35" x14ac:dyDescent="0.25">
      <c r="B54" s="104" t="str">
        <f>インプット!B45&amp;"調達価格"</f>
        <v>乳牛排泄物調達価格</v>
      </c>
      <c r="C54" s="105" t="s">
        <v>6</v>
      </c>
      <c r="D54" s="52"/>
      <c r="E54" s="264">
        <f>インプット!$E$45</f>
        <v>-2000</v>
      </c>
      <c r="F54" s="264">
        <f>インプット!$E$45</f>
        <v>-2000</v>
      </c>
      <c r="G54" s="264">
        <f>インプット!$E$45</f>
        <v>-2000</v>
      </c>
      <c r="H54" s="264">
        <f>インプット!$E$45</f>
        <v>-2000</v>
      </c>
      <c r="I54" s="264">
        <f>インプット!$E$45</f>
        <v>-2000</v>
      </c>
      <c r="J54" s="264">
        <f>インプット!$E$45</f>
        <v>-2000</v>
      </c>
      <c r="K54" s="264">
        <f>インプット!$E$45</f>
        <v>-2000</v>
      </c>
      <c r="L54" s="264">
        <f>インプット!$E$45</f>
        <v>-2000</v>
      </c>
      <c r="M54" s="264">
        <f>インプット!$E$45</f>
        <v>-2000</v>
      </c>
      <c r="N54" s="264">
        <f>インプット!$E$45</f>
        <v>-2000</v>
      </c>
      <c r="O54" s="264">
        <f>インプット!$E$45</f>
        <v>-2000</v>
      </c>
      <c r="P54" s="264">
        <f>インプット!$E$45</f>
        <v>-2000</v>
      </c>
      <c r="Q54" s="264">
        <f>インプット!$E$45</f>
        <v>-2000</v>
      </c>
      <c r="R54" s="264">
        <f>インプット!$E$45</f>
        <v>-2000</v>
      </c>
      <c r="S54" s="264">
        <f>インプット!$E$45</f>
        <v>-2000</v>
      </c>
      <c r="T54" s="264">
        <f>インプット!$E$45</f>
        <v>-2000</v>
      </c>
      <c r="U54" s="264">
        <f>インプット!$E$45</f>
        <v>-2000</v>
      </c>
      <c r="V54" s="264">
        <f>インプット!$E$45</f>
        <v>-2000</v>
      </c>
      <c r="W54" s="264">
        <f>インプット!$E$45</f>
        <v>-2000</v>
      </c>
      <c r="X54" s="264">
        <f>インプット!$E$45</f>
        <v>-2000</v>
      </c>
      <c r="Y54" s="264">
        <f>インプット!$E$45</f>
        <v>-2000</v>
      </c>
      <c r="Z54" s="264">
        <f>インプット!$E$45</f>
        <v>-2000</v>
      </c>
      <c r="AA54" s="264">
        <f>インプット!$E$45</f>
        <v>-2000</v>
      </c>
      <c r="AB54" s="264">
        <f>インプット!$E$45</f>
        <v>-2000</v>
      </c>
      <c r="AC54" s="264">
        <f>インプット!$E$45</f>
        <v>-2000</v>
      </c>
      <c r="AD54" s="264">
        <f>インプット!$E$45</f>
        <v>-2000</v>
      </c>
      <c r="AE54" s="264">
        <f>インプット!$E$45</f>
        <v>-2000</v>
      </c>
      <c r="AF54" s="264">
        <f>インプット!$E$45</f>
        <v>-2000</v>
      </c>
      <c r="AG54" s="264">
        <f>インプット!$E$45</f>
        <v>-2000</v>
      </c>
      <c r="AH54" s="265">
        <f>インプット!$E$45</f>
        <v>-2000</v>
      </c>
      <c r="AI54" s="191">
        <f t="shared" si="13"/>
        <v>-60000</v>
      </c>
    </row>
    <row r="55" spans="1:35" x14ac:dyDescent="0.25">
      <c r="B55" s="104" t="str">
        <f>インプット!B49&amp;"調達量"</f>
        <v>下水汚泥（濃縮汚泥）調達量</v>
      </c>
      <c r="C55" s="105" t="s">
        <v>126</v>
      </c>
      <c r="D55" s="106"/>
      <c r="E55" s="262">
        <f>インプット!$E$50*365*24*E$5</f>
        <v>0</v>
      </c>
      <c r="F55" s="262">
        <f>インプット!$E$50*365*24*F$5</f>
        <v>0</v>
      </c>
      <c r="G55" s="262">
        <f>インプット!$E$50*365*24*G$5</f>
        <v>0</v>
      </c>
      <c r="H55" s="262">
        <f>インプット!$E$50*365*24*H$5</f>
        <v>0</v>
      </c>
      <c r="I55" s="262">
        <f>インプット!$E$50*365*24*I$5</f>
        <v>0</v>
      </c>
      <c r="J55" s="262">
        <f>インプット!$E$50*365*24*J$5</f>
        <v>0</v>
      </c>
      <c r="K55" s="262">
        <f>インプット!$E$50*365*24*K$5</f>
        <v>0</v>
      </c>
      <c r="L55" s="262">
        <f>インプット!$E$50*365*24*L$5</f>
        <v>0</v>
      </c>
      <c r="M55" s="262">
        <f>インプット!$E$50*365*24*M$5</f>
        <v>0</v>
      </c>
      <c r="N55" s="262">
        <f>インプット!$E$50*365*24*N$5</f>
        <v>0</v>
      </c>
      <c r="O55" s="262">
        <f>インプット!$E$50*365*24*O$5</f>
        <v>0</v>
      </c>
      <c r="P55" s="262">
        <f>インプット!$E$50*365*24*P$5</f>
        <v>0</v>
      </c>
      <c r="Q55" s="262">
        <f>インプット!$E$50*365*24*Q$5</f>
        <v>0</v>
      </c>
      <c r="R55" s="262">
        <f>インプット!$E$50*365*24*R$5</f>
        <v>0</v>
      </c>
      <c r="S55" s="262">
        <f>インプット!$E$50*365*24*S$5</f>
        <v>0</v>
      </c>
      <c r="T55" s="262">
        <f>インプット!$E$50*365*24*T$5</f>
        <v>0</v>
      </c>
      <c r="U55" s="262">
        <f>インプット!$E$50*365*24*U$5</f>
        <v>0</v>
      </c>
      <c r="V55" s="262">
        <f>インプット!$E$50*365*24*V$5</f>
        <v>0</v>
      </c>
      <c r="W55" s="262">
        <f>インプット!$E$50*365*24*W$5</f>
        <v>0</v>
      </c>
      <c r="X55" s="262">
        <f>インプット!$E$50*365*24*X$5</f>
        <v>0</v>
      </c>
      <c r="Y55" s="262">
        <f>インプット!$E$50*365*24*Y$5</f>
        <v>0</v>
      </c>
      <c r="Z55" s="262">
        <f>インプット!$E$50*365*24*Z$5</f>
        <v>0</v>
      </c>
      <c r="AA55" s="262">
        <f>インプット!$E$50*365*24*AA$5</f>
        <v>0</v>
      </c>
      <c r="AB55" s="262">
        <f>インプット!$E$50*365*24*AB$5</f>
        <v>0</v>
      </c>
      <c r="AC55" s="262">
        <f>インプット!$E$50*365*24*AC$5</f>
        <v>0</v>
      </c>
      <c r="AD55" s="262">
        <f>インプット!$E$50*365*24*AD$5</f>
        <v>0</v>
      </c>
      <c r="AE55" s="262">
        <f>インプット!$E$50*365*24*AE$5</f>
        <v>0</v>
      </c>
      <c r="AF55" s="262">
        <f>インプット!$E$50*365*24*AF$5</f>
        <v>0</v>
      </c>
      <c r="AG55" s="262">
        <f>インプット!$E$50*365*24*AG$5</f>
        <v>0</v>
      </c>
      <c r="AH55" s="263">
        <f>インプット!$E$50*365*24*AH$5</f>
        <v>0</v>
      </c>
      <c r="AI55" s="191">
        <f>SUM(E55:AH55)</f>
        <v>0</v>
      </c>
    </row>
    <row r="56" spans="1:35" x14ac:dyDescent="0.25">
      <c r="B56" s="104" t="str">
        <f>インプット!B49&amp;"調達価格"</f>
        <v>下水汚泥（濃縮汚泥）調達価格</v>
      </c>
      <c r="C56" s="105" t="s">
        <v>6</v>
      </c>
      <c r="D56" s="52"/>
      <c r="E56" s="264">
        <f>インプット!$E$49</f>
        <v>-12000</v>
      </c>
      <c r="F56" s="264">
        <f>インプット!$E$49</f>
        <v>-12000</v>
      </c>
      <c r="G56" s="264">
        <f>インプット!$E$49</f>
        <v>-12000</v>
      </c>
      <c r="H56" s="264">
        <f>インプット!$E$49</f>
        <v>-12000</v>
      </c>
      <c r="I56" s="264">
        <f>インプット!$E$49</f>
        <v>-12000</v>
      </c>
      <c r="J56" s="264">
        <f>インプット!$E$49</f>
        <v>-12000</v>
      </c>
      <c r="K56" s="264">
        <f>インプット!$E$49</f>
        <v>-12000</v>
      </c>
      <c r="L56" s="264">
        <f>インプット!$E$49</f>
        <v>-12000</v>
      </c>
      <c r="M56" s="264">
        <f>インプット!$E$49</f>
        <v>-12000</v>
      </c>
      <c r="N56" s="264">
        <f>インプット!$E$49</f>
        <v>-12000</v>
      </c>
      <c r="O56" s="264">
        <f>インプット!$E$49</f>
        <v>-12000</v>
      </c>
      <c r="P56" s="264">
        <f>インプット!$E$49</f>
        <v>-12000</v>
      </c>
      <c r="Q56" s="264">
        <f>インプット!$E$49</f>
        <v>-12000</v>
      </c>
      <c r="R56" s="264">
        <f>インプット!$E$49</f>
        <v>-12000</v>
      </c>
      <c r="S56" s="264">
        <f>インプット!$E$49</f>
        <v>-12000</v>
      </c>
      <c r="T56" s="264">
        <f>インプット!$E$49</f>
        <v>-12000</v>
      </c>
      <c r="U56" s="264">
        <f>インプット!$E$49</f>
        <v>-12000</v>
      </c>
      <c r="V56" s="264">
        <f>インプット!$E$49</f>
        <v>-12000</v>
      </c>
      <c r="W56" s="264">
        <f>インプット!$E$49</f>
        <v>-12000</v>
      </c>
      <c r="X56" s="264">
        <f>インプット!$E$49</f>
        <v>-12000</v>
      </c>
      <c r="Y56" s="264">
        <f>インプット!$E$49</f>
        <v>-12000</v>
      </c>
      <c r="Z56" s="264">
        <f>インプット!$E$49</f>
        <v>-12000</v>
      </c>
      <c r="AA56" s="264">
        <f>インプット!$E$49</f>
        <v>-12000</v>
      </c>
      <c r="AB56" s="264">
        <f>インプット!$E$49</f>
        <v>-12000</v>
      </c>
      <c r="AC56" s="264">
        <f>インプット!$E$49</f>
        <v>-12000</v>
      </c>
      <c r="AD56" s="264">
        <f>インプット!$E$49</f>
        <v>-12000</v>
      </c>
      <c r="AE56" s="264">
        <f>インプット!$E$49</f>
        <v>-12000</v>
      </c>
      <c r="AF56" s="264">
        <f>インプット!$E$49</f>
        <v>-12000</v>
      </c>
      <c r="AG56" s="264">
        <f>インプット!$E$49</f>
        <v>-12000</v>
      </c>
      <c r="AH56" s="265">
        <f>インプット!$E$49</f>
        <v>-12000</v>
      </c>
      <c r="AI56" s="191">
        <f>SUM(E56:AH56)</f>
        <v>-360000</v>
      </c>
    </row>
    <row r="57" spans="1:35" x14ac:dyDescent="0.25">
      <c r="B57" s="104" t="str">
        <f>インプット!B53&amp;"調達量"</f>
        <v>＜資源名を入力＞調達量</v>
      </c>
      <c r="C57" s="105" t="s">
        <v>126</v>
      </c>
      <c r="D57" s="106"/>
      <c r="E57" s="262">
        <f>インプット!$E$54*365*24*E$5</f>
        <v>0</v>
      </c>
      <c r="F57" s="262">
        <f>インプット!$E$54*365*24*F$5</f>
        <v>0</v>
      </c>
      <c r="G57" s="262">
        <f>インプット!$E$54*365*24*G$5</f>
        <v>0</v>
      </c>
      <c r="H57" s="262">
        <f>インプット!$E$54*365*24*H$5</f>
        <v>0</v>
      </c>
      <c r="I57" s="262">
        <f>インプット!$E$54*365*24*I$5</f>
        <v>0</v>
      </c>
      <c r="J57" s="262">
        <f>インプット!$E$54*365*24*J$5</f>
        <v>0</v>
      </c>
      <c r="K57" s="262">
        <f>インプット!$E$54*365*24*K$5</f>
        <v>0</v>
      </c>
      <c r="L57" s="262">
        <f>インプット!$E$54*365*24*L$5</f>
        <v>0</v>
      </c>
      <c r="M57" s="262">
        <f>インプット!$E$54*365*24*M$5</f>
        <v>0</v>
      </c>
      <c r="N57" s="262">
        <f>インプット!$E$54*365*24*N$5</f>
        <v>0</v>
      </c>
      <c r="O57" s="262">
        <f>インプット!$E$54*365*24*O$5</f>
        <v>0</v>
      </c>
      <c r="P57" s="262">
        <f>インプット!$E$54*365*24*P$5</f>
        <v>0</v>
      </c>
      <c r="Q57" s="262">
        <f>インプット!$E$54*365*24*Q$5</f>
        <v>0</v>
      </c>
      <c r="R57" s="262">
        <f>インプット!$E$54*365*24*R$5</f>
        <v>0</v>
      </c>
      <c r="S57" s="262">
        <f>インプット!$E$54*365*24*S$5</f>
        <v>0</v>
      </c>
      <c r="T57" s="262">
        <f>インプット!$E$54*365*24*T$5</f>
        <v>0</v>
      </c>
      <c r="U57" s="262">
        <f>インプット!$E$54*365*24*U$5</f>
        <v>0</v>
      </c>
      <c r="V57" s="262">
        <f>インプット!$E$54*365*24*V$5</f>
        <v>0</v>
      </c>
      <c r="W57" s="262">
        <f>インプット!$E$54*365*24*W$5</f>
        <v>0</v>
      </c>
      <c r="X57" s="262">
        <f>インプット!$E$54*365*24*X$5</f>
        <v>0</v>
      </c>
      <c r="Y57" s="262">
        <f>インプット!$E$54*365*24*Y$5</f>
        <v>0</v>
      </c>
      <c r="Z57" s="262">
        <f>インプット!$E$54*365*24*Z$5</f>
        <v>0</v>
      </c>
      <c r="AA57" s="262">
        <f>インプット!$E$54*365*24*AA$5</f>
        <v>0</v>
      </c>
      <c r="AB57" s="262">
        <f>インプット!$E$54*365*24*AB$5</f>
        <v>0</v>
      </c>
      <c r="AC57" s="262">
        <f>インプット!$E$54*365*24*AC$5</f>
        <v>0</v>
      </c>
      <c r="AD57" s="262">
        <f>インプット!$E$54*365*24*AD$5</f>
        <v>0</v>
      </c>
      <c r="AE57" s="262">
        <f>インプット!$E$54*365*24*AE$5</f>
        <v>0</v>
      </c>
      <c r="AF57" s="262">
        <f>インプット!$E$54*365*24*AF$5</f>
        <v>0</v>
      </c>
      <c r="AG57" s="262">
        <f>インプット!$E$54*365*24*AG$5</f>
        <v>0</v>
      </c>
      <c r="AH57" s="263">
        <f>インプット!$E$54*365*24*AH$5</f>
        <v>0</v>
      </c>
      <c r="AI57" s="191">
        <f>SUM(E57:AH57)</f>
        <v>0</v>
      </c>
    </row>
    <row r="58" spans="1:35" x14ac:dyDescent="0.25">
      <c r="B58" s="104" t="str">
        <f>インプット!B53&amp;"調達価格"</f>
        <v>＜資源名を入力＞調達価格</v>
      </c>
      <c r="C58" s="105" t="s">
        <v>6</v>
      </c>
      <c r="D58" s="52"/>
      <c r="E58" s="264">
        <f>インプット!$E$53</f>
        <v>0</v>
      </c>
      <c r="F58" s="264">
        <f>インプット!$E$53</f>
        <v>0</v>
      </c>
      <c r="G58" s="264">
        <f>インプット!$E$53</f>
        <v>0</v>
      </c>
      <c r="H58" s="264">
        <f>インプット!$E$53</f>
        <v>0</v>
      </c>
      <c r="I58" s="264">
        <f>インプット!$E$53</f>
        <v>0</v>
      </c>
      <c r="J58" s="264">
        <f>インプット!$E$53</f>
        <v>0</v>
      </c>
      <c r="K58" s="264">
        <f>インプット!$E$53</f>
        <v>0</v>
      </c>
      <c r="L58" s="264">
        <f>インプット!$E$53</f>
        <v>0</v>
      </c>
      <c r="M58" s="264">
        <f>インプット!$E$53</f>
        <v>0</v>
      </c>
      <c r="N58" s="264">
        <f>インプット!$E$53</f>
        <v>0</v>
      </c>
      <c r="O58" s="264">
        <f>インプット!$E$53</f>
        <v>0</v>
      </c>
      <c r="P58" s="264">
        <f>インプット!$E$53</f>
        <v>0</v>
      </c>
      <c r="Q58" s="264">
        <f>インプット!$E$53</f>
        <v>0</v>
      </c>
      <c r="R58" s="264">
        <f>インプット!$E$53</f>
        <v>0</v>
      </c>
      <c r="S58" s="264">
        <f>インプット!$E$53</f>
        <v>0</v>
      </c>
      <c r="T58" s="264">
        <f>インプット!$E$53</f>
        <v>0</v>
      </c>
      <c r="U58" s="264">
        <f>インプット!$E$53</f>
        <v>0</v>
      </c>
      <c r="V58" s="264">
        <f>インプット!$E$53</f>
        <v>0</v>
      </c>
      <c r="W58" s="264">
        <f>インプット!$E$53</f>
        <v>0</v>
      </c>
      <c r="X58" s="264">
        <f>インプット!$E$53</f>
        <v>0</v>
      </c>
      <c r="Y58" s="264">
        <f>インプット!$E$53</f>
        <v>0</v>
      </c>
      <c r="Z58" s="264">
        <f>インプット!$E$53</f>
        <v>0</v>
      </c>
      <c r="AA58" s="264">
        <f>インプット!$E$53</f>
        <v>0</v>
      </c>
      <c r="AB58" s="264">
        <f>インプット!$E$53</f>
        <v>0</v>
      </c>
      <c r="AC58" s="264">
        <f>インプット!$E$53</f>
        <v>0</v>
      </c>
      <c r="AD58" s="264">
        <f>インプット!$E$53</f>
        <v>0</v>
      </c>
      <c r="AE58" s="264">
        <f>インプット!$E$53</f>
        <v>0</v>
      </c>
      <c r="AF58" s="264">
        <f>インプット!$E$53</f>
        <v>0</v>
      </c>
      <c r="AG58" s="264">
        <f>インプット!$E$53</f>
        <v>0</v>
      </c>
      <c r="AH58" s="265">
        <f>インプット!$E$53</f>
        <v>0</v>
      </c>
      <c r="AI58" s="191">
        <f>SUM(E58:AH58)</f>
        <v>0</v>
      </c>
    </row>
    <row r="59" spans="1:35" x14ac:dyDescent="0.25">
      <c r="B59" s="98" t="str">
        <f t="shared" ref="B59:B64" si="15">B8</f>
        <v>薬剤・消耗品費用</v>
      </c>
      <c r="C59" s="105" t="s">
        <v>37</v>
      </c>
      <c r="D59" s="52"/>
      <c r="E59" s="134">
        <f>E8</f>
        <v>57525830.544324234</v>
      </c>
      <c r="F59" s="134">
        <f t="shared" ref="F59:AH59" si="16">F8</f>
        <v>57525830.544324234</v>
      </c>
      <c r="G59" s="134">
        <f t="shared" si="16"/>
        <v>57525830.544324234</v>
      </c>
      <c r="H59" s="134">
        <f t="shared" si="16"/>
        <v>57525830.544324234</v>
      </c>
      <c r="I59" s="134">
        <f t="shared" si="16"/>
        <v>57525830.544324234</v>
      </c>
      <c r="J59" s="134">
        <f t="shared" si="16"/>
        <v>57525830.544324234</v>
      </c>
      <c r="K59" s="134">
        <f t="shared" si="16"/>
        <v>57525830.544324234</v>
      </c>
      <c r="L59" s="134">
        <f t="shared" si="16"/>
        <v>57525830.544324234</v>
      </c>
      <c r="M59" s="134">
        <f t="shared" si="16"/>
        <v>57525830.544324234</v>
      </c>
      <c r="N59" s="134">
        <f t="shared" si="16"/>
        <v>57525830.544324234</v>
      </c>
      <c r="O59" s="134">
        <f t="shared" si="16"/>
        <v>57525830.544324234</v>
      </c>
      <c r="P59" s="134">
        <f t="shared" si="16"/>
        <v>57525830.544324234</v>
      </c>
      <c r="Q59" s="134">
        <f t="shared" si="16"/>
        <v>57525830.544324234</v>
      </c>
      <c r="R59" s="134">
        <f t="shared" si="16"/>
        <v>57525830.544324234</v>
      </c>
      <c r="S59" s="134">
        <f t="shared" si="16"/>
        <v>57525830.544324234</v>
      </c>
      <c r="T59" s="134">
        <f t="shared" si="16"/>
        <v>57525830.544324234</v>
      </c>
      <c r="U59" s="134">
        <f t="shared" si="16"/>
        <v>57525830.544324234</v>
      </c>
      <c r="V59" s="134">
        <f t="shared" si="16"/>
        <v>57525830.544324234</v>
      </c>
      <c r="W59" s="134">
        <f t="shared" si="16"/>
        <v>57525830.544324234</v>
      </c>
      <c r="X59" s="134">
        <f t="shared" si="16"/>
        <v>57525830.544324234</v>
      </c>
      <c r="Y59" s="134">
        <f t="shared" si="16"/>
        <v>57525830.544324234</v>
      </c>
      <c r="Z59" s="134">
        <f t="shared" si="16"/>
        <v>57525830.544324234</v>
      </c>
      <c r="AA59" s="134">
        <f t="shared" si="16"/>
        <v>57525830.544324234</v>
      </c>
      <c r="AB59" s="134">
        <f t="shared" si="16"/>
        <v>57525830.544324234</v>
      </c>
      <c r="AC59" s="134">
        <f t="shared" si="16"/>
        <v>57525830.544324234</v>
      </c>
      <c r="AD59" s="134">
        <f t="shared" si="16"/>
        <v>57525830.544324234</v>
      </c>
      <c r="AE59" s="134">
        <f t="shared" si="16"/>
        <v>57525830.544324234</v>
      </c>
      <c r="AF59" s="134">
        <f t="shared" si="16"/>
        <v>57525830.544324234</v>
      </c>
      <c r="AG59" s="134">
        <f t="shared" si="16"/>
        <v>57525830.544324234</v>
      </c>
      <c r="AH59" s="134">
        <f t="shared" si="16"/>
        <v>57525830.544324234</v>
      </c>
      <c r="AI59" s="191">
        <f t="shared" si="13"/>
        <v>1725774916.3297265</v>
      </c>
    </row>
    <row r="60" spans="1:35" x14ac:dyDescent="0.25">
      <c r="B60" s="98" t="str">
        <f t="shared" si="15"/>
        <v>ユーティリティー費用</v>
      </c>
      <c r="C60" s="105" t="s">
        <v>37</v>
      </c>
      <c r="D60" s="52"/>
      <c r="E60" s="134">
        <f>E9</f>
        <v>24653927.376138959</v>
      </c>
      <c r="F60" s="134">
        <f t="shared" ref="F60:AH60" si="17">F9</f>
        <v>24653927.376138959</v>
      </c>
      <c r="G60" s="134">
        <f t="shared" si="17"/>
        <v>24653927.376138959</v>
      </c>
      <c r="H60" s="134">
        <f t="shared" si="17"/>
        <v>24653927.376138959</v>
      </c>
      <c r="I60" s="134">
        <f t="shared" si="17"/>
        <v>24653927.376138959</v>
      </c>
      <c r="J60" s="134">
        <f t="shared" si="17"/>
        <v>24653927.376138959</v>
      </c>
      <c r="K60" s="134">
        <f t="shared" si="17"/>
        <v>24653927.376138959</v>
      </c>
      <c r="L60" s="134">
        <f t="shared" si="17"/>
        <v>24653927.376138959</v>
      </c>
      <c r="M60" s="134">
        <f t="shared" si="17"/>
        <v>24653927.376138959</v>
      </c>
      <c r="N60" s="134">
        <f t="shared" si="17"/>
        <v>24653927.376138959</v>
      </c>
      <c r="O60" s="134">
        <f t="shared" si="17"/>
        <v>24653927.376138959</v>
      </c>
      <c r="P60" s="134">
        <f t="shared" si="17"/>
        <v>24653927.376138959</v>
      </c>
      <c r="Q60" s="134">
        <f t="shared" si="17"/>
        <v>24653927.376138959</v>
      </c>
      <c r="R60" s="134">
        <f t="shared" si="17"/>
        <v>24653927.376138959</v>
      </c>
      <c r="S60" s="134">
        <f t="shared" si="17"/>
        <v>24653927.376138959</v>
      </c>
      <c r="T60" s="134">
        <f t="shared" si="17"/>
        <v>24653927.376138959</v>
      </c>
      <c r="U60" s="134">
        <f t="shared" si="17"/>
        <v>24653927.376138959</v>
      </c>
      <c r="V60" s="134">
        <f t="shared" si="17"/>
        <v>24653927.376138959</v>
      </c>
      <c r="W60" s="134">
        <f t="shared" si="17"/>
        <v>24653927.376138959</v>
      </c>
      <c r="X60" s="134">
        <f t="shared" si="17"/>
        <v>24653927.376138959</v>
      </c>
      <c r="Y60" s="134">
        <f t="shared" si="17"/>
        <v>24653927.376138959</v>
      </c>
      <c r="Z60" s="134">
        <f t="shared" si="17"/>
        <v>24653927.376138959</v>
      </c>
      <c r="AA60" s="134">
        <f t="shared" si="17"/>
        <v>24653927.376138959</v>
      </c>
      <c r="AB60" s="134">
        <f t="shared" si="17"/>
        <v>24653927.376138959</v>
      </c>
      <c r="AC60" s="134">
        <f t="shared" si="17"/>
        <v>24653927.376138959</v>
      </c>
      <c r="AD60" s="134">
        <f t="shared" si="17"/>
        <v>24653927.376138959</v>
      </c>
      <c r="AE60" s="134">
        <f t="shared" si="17"/>
        <v>24653927.376138959</v>
      </c>
      <c r="AF60" s="134">
        <f t="shared" si="17"/>
        <v>24653927.376138959</v>
      </c>
      <c r="AG60" s="134">
        <f t="shared" si="17"/>
        <v>24653927.376138959</v>
      </c>
      <c r="AH60" s="134">
        <f t="shared" si="17"/>
        <v>24653927.376138959</v>
      </c>
      <c r="AI60" s="191">
        <f t="shared" si="13"/>
        <v>739617821.28416872</v>
      </c>
    </row>
    <row r="61" spans="1:35" s="21" customFormat="1" x14ac:dyDescent="0.25">
      <c r="A61" s="10"/>
      <c r="B61" s="98" t="str">
        <f t="shared" si="15"/>
        <v>＜その他・費目を入力＞</v>
      </c>
      <c r="C61" s="121" t="s">
        <v>37</v>
      </c>
      <c r="D61" s="349"/>
      <c r="E61" s="134">
        <f>E10</f>
        <v>0</v>
      </c>
      <c r="F61" s="134">
        <f t="shared" ref="F61:AH61" si="18">F10</f>
        <v>0</v>
      </c>
      <c r="G61" s="134">
        <f t="shared" si="18"/>
        <v>0</v>
      </c>
      <c r="H61" s="134">
        <f t="shared" si="18"/>
        <v>0</v>
      </c>
      <c r="I61" s="134">
        <f t="shared" si="18"/>
        <v>0</v>
      </c>
      <c r="J61" s="134">
        <f t="shared" si="18"/>
        <v>0</v>
      </c>
      <c r="K61" s="134">
        <f t="shared" si="18"/>
        <v>0</v>
      </c>
      <c r="L61" s="134">
        <f t="shared" si="18"/>
        <v>0</v>
      </c>
      <c r="M61" s="134">
        <f t="shared" si="18"/>
        <v>0</v>
      </c>
      <c r="N61" s="134">
        <f t="shared" si="18"/>
        <v>0</v>
      </c>
      <c r="O61" s="134">
        <f t="shared" si="18"/>
        <v>0</v>
      </c>
      <c r="P61" s="134">
        <f t="shared" si="18"/>
        <v>0</v>
      </c>
      <c r="Q61" s="134">
        <f t="shared" si="18"/>
        <v>0</v>
      </c>
      <c r="R61" s="134">
        <f t="shared" si="18"/>
        <v>0</v>
      </c>
      <c r="S61" s="134">
        <f t="shared" si="18"/>
        <v>0</v>
      </c>
      <c r="T61" s="134">
        <f t="shared" si="18"/>
        <v>0</v>
      </c>
      <c r="U61" s="134">
        <f t="shared" si="18"/>
        <v>0</v>
      </c>
      <c r="V61" s="134">
        <f t="shared" si="18"/>
        <v>0</v>
      </c>
      <c r="W61" s="134">
        <f t="shared" si="18"/>
        <v>0</v>
      </c>
      <c r="X61" s="134">
        <f t="shared" si="18"/>
        <v>0</v>
      </c>
      <c r="Y61" s="134">
        <f t="shared" si="18"/>
        <v>0</v>
      </c>
      <c r="Z61" s="134">
        <f t="shared" si="18"/>
        <v>0</v>
      </c>
      <c r="AA61" s="134">
        <f t="shared" si="18"/>
        <v>0</v>
      </c>
      <c r="AB61" s="134">
        <f t="shared" si="18"/>
        <v>0</v>
      </c>
      <c r="AC61" s="134">
        <f t="shared" si="18"/>
        <v>0</v>
      </c>
      <c r="AD61" s="134">
        <f t="shared" si="18"/>
        <v>0</v>
      </c>
      <c r="AE61" s="134">
        <f t="shared" si="18"/>
        <v>0</v>
      </c>
      <c r="AF61" s="134">
        <f t="shared" si="18"/>
        <v>0</v>
      </c>
      <c r="AG61" s="134">
        <f t="shared" si="18"/>
        <v>0</v>
      </c>
      <c r="AH61" s="134">
        <f t="shared" si="18"/>
        <v>0</v>
      </c>
      <c r="AI61" s="191">
        <f t="shared" si="13"/>
        <v>0</v>
      </c>
    </row>
    <row r="62" spans="1:35" x14ac:dyDescent="0.25">
      <c r="B62" s="98" t="str">
        <f t="shared" si="15"/>
        <v>＜その他・費目を入力＞</v>
      </c>
      <c r="C62" s="36" t="s">
        <v>11</v>
      </c>
      <c r="D62" s="107"/>
      <c r="E62" s="134">
        <f>E11</f>
        <v>0</v>
      </c>
      <c r="F62" s="134">
        <f t="shared" ref="F62:AH62" si="19">F11</f>
        <v>0</v>
      </c>
      <c r="G62" s="134">
        <f t="shared" si="19"/>
        <v>0</v>
      </c>
      <c r="H62" s="134">
        <f t="shared" si="19"/>
        <v>0</v>
      </c>
      <c r="I62" s="134">
        <f t="shared" si="19"/>
        <v>0</v>
      </c>
      <c r="J62" s="134">
        <f t="shared" si="19"/>
        <v>0</v>
      </c>
      <c r="K62" s="134">
        <f t="shared" si="19"/>
        <v>0</v>
      </c>
      <c r="L62" s="134">
        <f t="shared" si="19"/>
        <v>0</v>
      </c>
      <c r="M62" s="134">
        <f t="shared" si="19"/>
        <v>0</v>
      </c>
      <c r="N62" s="134">
        <f t="shared" si="19"/>
        <v>0</v>
      </c>
      <c r="O62" s="134">
        <f t="shared" si="19"/>
        <v>0</v>
      </c>
      <c r="P62" s="134">
        <f t="shared" si="19"/>
        <v>0</v>
      </c>
      <c r="Q62" s="134">
        <f t="shared" si="19"/>
        <v>0</v>
      </c>
      <c r="R62" s="134">
        <f t="shared" si="19"/>
        <v>0</v>
      </c>
      <c r="S62" s="134">
        <f t="shared" si="19"/>
        <v>0</v>
      </c>
      <c r="T62" s="134">
        <f t="shared" si="19"/>
        <v>0</v>
      </c>
      <c r="U62" s="134">
        <f t="shared" si="19"/>
        <v>0</v>
      </c>
      <c r="V62" s="134">
        <f t="shared" si="19"/>
        <v>0</v>
      </c>
      <c r="W62" s="134">
        <f t="shared" si="19"/>
        <v>0</v>
      </c>
      <c r="X62" s="134">
        <f t="shared" si="19"/>
        <v>0</v>
      </c>
      <c r="Y62" s="134">
        <f t="shared" si="19"/>
        <v>0</v>
      </c>
      <c r="Z62" s="134">
        <f t="shared" si="19"/>
        <v>0</v>
      </c>
      <c r="AA62" s="134">
        <f t="shared" si="19"/>
        <v>0</v>
      </c>
      <c r="AB62" s="134">
        <f t="shared" si="19"/>
        <v>0</v>
      </c>
      <c r="AC62" s="134">
        <f t="shared" si="19"/>
        <v>0</v>
      </c>
      <c r="AD62" s="134">
        <f t="shared" si="19"/>
        <v>0</v>
      </c>
      <c r="AE62" s="134">
        <f t="shared" si="19"/>
        <v>0</v>
      </c>
      <c r="AF62" s="134">
        <f t="shared" si="19"/>
        <v>0</v>
      </c>
      <c r="AG62" s="134">
        <f t="shared" si="19"/>
        <v>0</v>
      </c>
      <c r="AH62" s="134">
        <f t="shared" si="19"/>
        <v>0</v>
      </c>
      <c r="AI62" s="191">
        <f t="shared" si="13"/>
        <v>0</v>
      </c>
    </row>
    <row r="63" spans="1:35" x14ac:dyDescent="0.25">
      <c r="B63" s="98" t="str">
        <f t="shared" si="15"/>
        <v>＜その他・費目を入力＞</v>
      </c>
      <c r="C63" s="105" t="s">
        <v>37</v>
      </c>
      <c r="D63" s="107"/>
      <c r="E63" s="134">
        <f>E12*E$5/インプット!$E$12/インプット!$E$13</f>
        <v>0</v>
      </c>
      <c r="F63" s="134">
        <f t="shared" ref="F63:AH63" si="20">F12*F$5</f>
        <v>0</v>
      </c>
      <c r="G63" s="134">
        <f t="shared" si="20"/>
        <v>0</v>
      </c>
      <c r="H63" s="134">
        <f t="shared" si="20"/>
        <v>0</v>
      </c>
      <c r="I63" s="134">
        <f t="shared" si="20"/>
        <v>0</v>
      </c>
      <c r="J63" s="134">
        <f t="shared" si="20"/>
        <v>0</v>
      </c>
      <c r="K63" s="134">
        <f t="shared" si="20"/>
        <v>0</v>
      </c>
      <c r="L63" s="134">
        <f t="shared" si="20"/>
        <v>0</v>
      </c>
      <c r="M63" s="134">
        <f t="shared" si="20"/>
        <v>0</v>
      </c>
      <c r="N63" s="134">
        <f t="shared" si="20"/>
        <v>0</v>
      </c>
      <c r="O63" s="134">
        <f t="shared" si="20"/>
        <v>0</v>
      </c>
      <c r="P63" s="134">
        <f t="shared" si="20"/>
        <v>0</v>
      </c>
      <c r="Q63" s="134">
        <f t="shared" si="20"/>
        <v>0</v>
      </c>
      <c r="R63" s="134">
        <f t="shared" si="20"/>
        <v>0</v>
      </c>
      <c r="S63" s="134">
        <f t="shared" si="20"/>
        <v>0</v>
      </c>
      <c r="T63" s="134">
        <f t="shared" si="20"/>
        <v>0</v>
      </c>
      <c r="U63" s="134">
        <f t="shared" si="20"/>
        <v>0</v>
      </c>
      <c r="V63" s="134">
        <f t="shared" si="20"/>
        <v>0</v>
      </c>
      <c r="W63" s="134">
        <f t="shared" si="20"/>
        <v>0</v>
      </c>
      <c r="X63" s="134">
        <f t="shared" si="20"/>
        <v>0</v>
      </c>
      <c r="Y63" s="134">
        <f t="shared" si="20"/>
        <v>0</v>
      </c>
      <c r="Z63" s="134">
        <f t="shared" si="20"/>
        <v>0</v>
      </c>
      <c r="AA63" s="134">
        <f t="shared" si="20"/>
        <v>0</v>
      </c>
      <c r="AB63" s="134">
        <f t="shared" si="20"/>
        <v>0</v>
      </c>
      <c r="AC63" s="134">
        <f t="shared" si="20"/>
        <v>0</v>
      </c>
      <c r="AD63" s="134">
        <f t="shared" si="20"/>
        <v>0</v>
      </c>
      <c r="AE63" s="134">
        <f t="shared" si="20"/>
        <v>0</v>
      </c>
      <c r="AF63" s="134">
        <f t="shared" si="20"/>
        <v>0</v>
      </c>
      <c r="AG63" s="134">
        <f t="shared" si="20"/>
        <v>0</v>
      </c>
      <c r="AH63" s="134">
        <f t="shared" si="20"/>
        <v>0</v>
      </c>
      <c r="AI63" s="191">
        <f t="shared" si="13"/>
        <v>0</v>
      </c>
    </row>
    <row r="64" spans="1:35" x14ac:dyDescent="0.25">
      <c r="B64" s="98" t="str">
        <f t="shared" si="15"/>
        <v>＜その他・費目を入力＞</v>
      </c>
      <c r="C64" s="121" t="s">
        <v>37</v>
      </c>
      <c r="D64" s="107"/>
      <c r="E64" s="134">
        <f>E13*E$5/インプット!$E$12/インプット!$E$13</f>
        <v>0</v>
      </c>
      <c r="F64" s="134">
        <f t="shared" ref="F64:AH64" si="21">F13*F$5</f>
        <v>0</v>
      </c>
      <c r="G64" s="134">
        <f t="shared" si="21"/>
        <v>0</v>
      </c>
      <c r="H64" s="134">
        <f t="shared" si="21"/>
        <v>0</v>
      </c>
      <c r="I64" s="134">
        <f t="shared" si="21"/>
        <v>0</v>
      </c>
      <c r="J64" s="134">
        <f t="shared" si="21"/>
        <v>0</v>
      </c>
      <c r="K64" s="134">
        <f t="shared" si="21"/>
        <v>0</v>
      </c>
      <c r="L64" s="134">
        <f t="shared" si="21"/>
        <v>0</v>
      </c>
      <c r="M64" s="134">
        <f t="shared" si="21"/>
        <v>0</v>
      </c>
      <c r="N64" s="134">
        <f t="shared" si="21"/>
        <v>0</v>
      </c>
      <c r="O64" s="134">
        <f t="shared" si="21"/>
        <v>0</v>
      </c>
      <c r="P64" s="134">
        <f t="shared" si="21"/>
        <v>0</v>
      </c>
      <c r="Q64" s="134">
        <f t="shared" si="21"/>
        <v>0</v>
      </c>
      <c r="R64" s="134">
        <f t="shared" si="21"/>
        <v>0</v>
      </c>
      <c r="S64" s="134">
        <f t="shared" si="21"/>
        <v>0</v>
      </c>
      <c r="T64" s="134">
        <f t="shared" si="21"/>
        <v>0</v>
      </c>
      <c r="U64" s="134">
        <f t="shared" si="21"/>
        <v>0</v>
      </c>
      <c r="V64" s="134">
        <f t="shared" si="21"/>
        <v>0</v>
      </c>
      <c r="W64" s="134">
        <f t="shared" si="21"/>
        <v>0</v>
      </c>
      <c r="X64" s="134">
        <f t="shared" si="21"/>
        <v>0</v>
      </c>
      <c r="Y64" s="134">
        <f t="shared" si="21"/>
        <v>0</v>
      </c>
      <c r="Z64" s="134">
        <f t="shared" si="21"/>
        <v>0</v>
      </c>
      <c r="AA64" s="134">
        <f t="shared" si="21"/>
        <v>0</v>
      </c>
      <c r="AB64" s="134">
        <f t="shared" si="21"/>
        <v>0</v>
      </c>
      <c r="AC64" s="134">
        <f t="shared" si="21"/>
        <v>0</v>
      </c>
      <c r="AD64" s="134">
        <f t="shared" si="21"/>
        <v>0</v>
      </c>
      <c r="AE64" s="134">
        <f t="shared" si="21"/>
        <v>0</v>
      </c>
      <c r="AF64" s="134">
        <f t="shared" si="21"/>
        <v>0</v>
      </c>
      <c r="AG64" s="134">
        <f t="shared" si="21"/>
        <v>0</v>
      </c>
      <c r="AH64" s="134">
        <f t="shared" si="21"/>
        <v>0</v>
      </c>
      <c r="AI64" s="191">
        <f t="shared" si="13"/>
        <v>0</v>
      </c>
    </row>
    <row r="65" spans="2:35" x14ac:dyDescent="0.25">
      <c r="B65" s="53" t="s">
        <v>15</v>
      </c>
      <c r="C65" s="45" t="s">
        <v>11</v>
      </c>
      <c r="D65" s="54"/>
      <c r="E65" s="135">
        <f>SUM(E66:E70)</f>
        <v>82179757.920463204</v>
      </c>
      <c r="F65" s="135">
        <f>SUM(F66:F70)</f>
        <v>82179757.920463204</v>
      </c>
      <c r="G65" s="135">
        <f t="shared" ref="G65:AH65" si="22">SUM(G66:G70)</f>
        <v>82179757.920463204</v>
      </c>
      <c r="H65" s="135">
        <f t="shared" si="22"/>
        <v>82179757.920463204</v>
      </c>
      <c r="I65" s="135">
        <f t="shared" si="22"/>
        <v>82179757.920463204</v>
      </c>
      <c r="J65" s="135">
        <f t="shared" si="22"/>
        <v>82179757.920463204</v>
      </c>
      <c r="K65" s="135">
        <f t="shared" si="22"/>
        <v>82179757.920463204</v>
      </c>
      <c r="L65" s="135">
        <f t="shared" si="22"/>
        <v>82179757.920463204</v>
      </c>
      <c r="M65" s="135">
        <f t="shared" si="22"/>
        <v>82179757.920463204</v>
      </c>
      <c r="N65" s="135">
        <f t="shared" si="22"/>
        <v>82179757.920463204</v>
      </c>
      <c r="O65" s="135">
        <f t="shared" si="22"/>
        <v>82179757.920463204</v>
      </c>
      <c r="P65" s="135">
        <f t="shared" si="22"/>
        <v>82179757.920463204</v>
      </c>
      <c r="Q65" s="135">
        <f t="shared" si="22"/>
        <v>82179757.920463204</v>
      </c>
      <c r="R65" s="135">
        <f t="shared" si="22"/>
        <v>82179757.920463204</v>
      </c>
      <c r="S65" s="135">
        <f t="shared" si="22"/>
        <v>82179757.920463204</v>
      </c>
      <c r="T65" s="135">
        <f t="shared" si="22"/>
        <v>82179757.920463204</v>
      </c>
      <c r="U65" s="135">
        <f t="shared" si="22"/>
        <v>82179757.920463204</v>
      </c>
      <c r="V65" s="135">
        <f t="shared" si="22"/>
        <v>82179757.920463204</v>
      </c>
      <c r="W65" s="135">
        <f t="shared" si="22"/>
        <v>82179757.920463204</v>
      </c>
      <c r="X65" s="135">
        <f t="shared" si="22"/>
        <v>82179757.920463204</v>
      </c>
      <c r="Y65" s="135">
        <f t="shared" si="22"/>
        <v>82179757.920463204</v>
      </c>
      <c r="Z65" s="135">
        <f t="shared" si="22"/>
        <v>82179757.920463204</v>
      </c>
      <c r="AA65" s="135">
        <f t="shared" si="22"/>
        <v>82179757.920463204</v>
      </c>
      <c r="AB65" s="135">
        <f t="shared" si="22"/>
        <v>82179757.920463204</v>
      </c>
      <c r="AC65" s="135">
        <f t="shared" si="22"/>
        <v>82179757.920463204</v>
      </c>
      <c r="AD65" s="135">
        <f t="shared" si="22"/>
        <v>82179757.920463204</v>
      </c>
      <c r="AE65" s="135">
        <f t="shared" si="22"/>
        <v>82179757.920463204</v>
      </c>
      <c r="AF65" s="135">
        <f t="shared" si="22"/>
        <v>82179757.920463204</v>
      </c>
      <c r="AG65" s="135">
        <f t="shared" si="22"/>
        <v>82179757.920463204</v>
      </c>
      <c r="AH65" s="136">
        <f t="shared" si="22"/>
        <v>82179757.920463204</v>
      </c>
      <c r="AI65" s="47">
        <f t="shared" ref="AI65:AI71" si="23">SUM(E65:AH65)</f>
        <v>2465392737.6138945</v>
      </c>
    </row>
    <row r="66" spans="2:35" x14ac:dyDescent="0.25">
      <c r="B66" s="104" t="str">
        <f>インプット!B67</f>
        <v>メンテナンス費</v>
      </c>
      <c r="C66" s="36" t="s">
        <v>11</v>
      </c>
      <c r="D66" s="107"/>
      <c r="E66" s="365">
        <f>インプット!$E67</f>
        <v>41089878.960231602</v>
      </c>
      <c r="F66" s="365">
        <f>インプット!$E67</f>
        <v>41089878.960231602</v>
      </c>
      <c r="G66" s="365">
        <f>インプット!$E67</f>
        <v>41089878.960231602</v>
      </c>
      <c r="H66" s="365">
        <f>インプット!$E67</f>
        <v>41089878.960231602</v>
      </c>
      <c r="I66" s="365">
        <f>インプット!$E67</f>
        <v>41089878.960231602</v>
      </c>
      <c r="J66" s="365">
        <f>インプット!$E67</f>
        <v>41089878.960231602</v>
      </c>
      <c r="K66" s="365">
        <f>インプット!$E67</f>
        <v>41089878.960231602</v>
      </c>
      <c r="L66" s="365">
        <f>インプット!$E67</f>
        <v>41089878.960231602</v>
      </c>
      <c r="M66" s="365">
        <f>インプット!$E67</f>
        <v>41089878.960231602</v>
      </c>
      <c r="N66" s="365">
        <f>インプット!$E67</f>
        <v>41089878.960231602</v>
      </c>
      <c r="O66" s="365">
        <f>インプット!$E67</f>
        <v>41089878.960231602</v>
      </c>
      <c r="P66" s="365">
        <f>インプット!$E67</f>
        <v>41089878.960231602</v>
      </c>
      <c r="Q66" s="365">
        <f>インプット!$E67</f>
        <v>41089878.960231602</v>
      </c>
      <c r="R66" s="365">
        <f>インプット!$E67</f>
        <v>41089878.960231602</v>
      </c>
      <c r="S66" s="365">
        <f>インプット!$E67</f>
        <v>41089878.960231602</v>
      </c>
      <c r="T66" s="365">
        <f>インプット!$E67</f>
        <v>41089878.960231602</v>
      </c>
      <c r="U66" s="365">
        <f>インプット!$E67</f>
        <v>41089878.960231602</v>
      </c>
      <c r="V66" s="365">
        <f>インプット!$E67</f>
        <v>41089878.960231602</v>
      </c>
      <c r="W66" s="365">
        <f>インプット!$E67</f>
        <v>41089878.960231602</v>
      </c>
      <c r="X66" s="365">
        <f>インプット!$E67</f>
        <v>41089878.960231602</v>
      </c>
      <c r="Y66" s="365">
        <f>インプット!$E67</f>
        <v>41089878.960231602</v>
      </c>
      <c r="Z66" s="365">
        <f>インプット!$E67</f>
        <v>41089878.960231602</v>
      </c>
      <c r="AA66" s="365">
        <f>インプット!$E67</f>
        <v>41089878.960231602</v>
      </c>
      <c r="AB66" s="365">
        <f>インプット!$E67</f>
        <v>41089878.960231602</v>
      </c>
      <c r="AC66" s="365">
        <f>インプット!$E67</f>
        <v>41089878.960231602</v>
      </c>
      <c r="AD66" s="365">
        <f>インプット!$E67</f>
        <v>41089878.960231602</v>
      </c>
      <c r="AE66" s="365">
        <f>インプット!$E67</f>
        <v>41089878.960231602</v>
      </c>
      <c r="AF66" s="365">
        <f>インプット!$E67</f>
        <v>41089878.960231602</v>
      </c>
      <c r="AG66" s="365">
        <f>インプット!$E67</f>
        <v>41089878.960231602</v>
      </c>
      <c r="AH66" s="365">
        <f>インプット!$E67</f>
        <v>41089878.960231602</v>
      </c>
      <c r="AI66" s="51">
        <f t="shared" si="23"/>
        <v>1232696368.8069472</v>
      </c>
    </row>
    <row r="67" spans="2:35" x14ac:dyDescent="0.25">
      <c r="B67" s="104" t="str">
        <f>インプット!B66</f>
        <v>人件費</v>
      </c>
      <c r="C67" s="36" t="s">
        <v>11</v>
      </c>
      <c r="D67" s="107"/>
      <c r="E67" s="365">
        <f>インプット!$E66</f>
        <v>24653927.376138959</v>
      </c>
      <c r="F67" s="365">
        <f>インプット!$E66</f>
        <v>24653927.376138959</v>
      </c>
      <c r="G67" s="365">
        <f>インプット!$E66</f>
        <v>24653927.376138959</v>
      </c>
      <c r="H67" s="365">
        <f>インプット!$E66</f>
        <v>24653927.376138959</v>
      </c>
      <c r="I67" s="365">
        <f>インプット!$E66</f>
        <v>24653927.376138959</v>
      </c>
      <c r="J67" s="365">
        <f>インプット!$E66</f>
        <v>24653927.376138959</v>
      </c>
      <c r="K67" s="365">
        <f>インプット!$E66</f>
        <v>24653927.376138959</v>
      </c>
      <c r="L67" s="365">
        <f>インプット!$E66</f>
        <v>24653927.376138959</v>
      </c>
      <c r="M67" s="365">
        <f>インプット!$E66</f>
        <v>24653927.376138959</v>
      </c>
      <c r="N67" s="365">
        <f>インプット!$E66</f>
        <v>24653927.376138959</v>
      </c>
      <c r="O67" s="365">
        <f>インプット!$E66</f>
        <v>24653927.376138959</v>
      </c>
      <c r="P67" s="365">
        <f>インプット!$E66</f>
        <v>24653927.376138959</v>
      </c>
      <c r="Q67" s="365">
        <f>インプット!$E66</f>
        <v>24653927.376138959</v>
      </c>
      <c r="R67" s="365">
        <f>インプット!$E66</f>
        <v>24653927.376138959</v>
      </c>
      <c r="S67" s="365">
        <f>インプット!$E66</f>
        <v>24653927.376138959</v>
      </c>
      <c r="T67" s="365">
        <f>インプット!$E66</f>
        <v>24653927.376138959</v>
      </c>
      <c r="U67" s="365">
        <f>インプット!$E66</f>
        <v>24653927.376138959</v>
      </c>
      <c r="V67" s="365">
        <f>インプット!$E66</f>
        <v>24653927.376138959</v>
      </c>
      <c r="W67" s="365">
        <f>インプット!$E66</f>
        <v>24653927.376138959</v>
      </c>
      <c r="X67" s="365">
        <f>インプット!$E66</f>
        <v>24653927.376138959</v>
      </c>
      <c r="Y67" s="365">
        <f>インプット!$E66</f>
        <v>24653927.376138959</v>
      </c>
      <c r="Z67" s="365">
        <f>インプット!$E66</f>
        <v>24653927.376138959</v>
      </c>
      <c r="AA67" s="365">
        <f>インプット!$E66</f>
        <v>24653927.376138959</v>
      </c>
      <c r="AB67" s="365">
        <f>インプット!$E66</f>
        <v>24653927.376138959</v>
      </c>
      <c r="AC67" s="365">
        <f>インプット!$E66</f>
        <v>24653927.376138959</v>
      </c>
      <c r="AD67" s="365">
        <f>インプット!$E66</f>
        <v>24653927.376138959</v>
      </c>
      <c r="AE67" s="365">
        <f>インプット!$E66</f>
        <v>24653927.376138959</v>
      </c>
      <c r="AF67" s="365">
        <f>インプット!$E66</f>
        <v>24653927.376138959</v>
      </c>
      <c r="AG67" s="365">
        <f>インプット!$E66</f>
        <v>24653927.376138959</v>
      </c>
      <c r="AH67" s="365">
        <f>インプット!$E66</f>
        <v>24653927.376138959</v>
      </c>
      <c r="AI67" s="51">
        <f t="shared" si="23"/>
        <v>739617821.28416872</v>
      </c>
    </row>
    <row r="68" spans="2:35" x14ac:dyDescent="0.25">
      <c r="B68" s="104" t="str">
        <f>インプット!B68</f>
        <v>一般管理費</v>
      </c>
      <c r="C68" s="36" t="s">
        <v>11</v>
      </c>
      <c r="D68" s="107"/>
      <c r="E68" s="365">
        <f>インプット!$E68</f>
        <v>16435951.584092641</v>
      </c>
      <c r="F68" s="365">
        <f>インプット!$E68</f>
        <v>16435951.584092641</v>
      </c>
      <c r="G68" s="365">
        <f>インプット!$E68</f>
        <v>16435951.584092641</v>
      </c>
      <c r="H68" s="365">
        <f>インプット!$E68</f>
        <v>16435951.584092641</v>
      </c>
      <c r="I68" s="365">
        <f>インプット!$E68</f>
        <v>16435951.584092641</v>
      </c>
      <c r="J68" s="365">
        <f>インプット!$E68</f>
        <v>16435951.584092641</v>
      </c>
      <c r="K68" s="365">
        <f>インプット!$E68</f>
        <v>16435951.584092641</v>
      </c>
      <c r="L68" s="365">
        <f>インプット!$E68</f>
        <v>16435951.584092641</v>
      </c>
      <c r="M68" s="365">
        <f>インプット!$E68</f>
        <v>16435951.584092641</v>
      </c>
      <c r="N68" s="365">
        <f>インプット!$E68</f>
        <v>16435951.584092641</v>
      </c>
      <c r="O68" s="365">
        <f>インプット!$E68</f>
        <v>16435951.584092641</v>
      </c>
      <c r="P68" s="365">
        <f>インプット!$E68</f>
        <v>16435951.584092641</v>
      </c>
      <c r="Q68" s="365">
        <f>インプット!$E68</f>
        <v>16435951.584092641</v>
      </c>
      <c r="R68" s="365">
        <f>インプット!$E68</f>
        <v>16435951.584092641</v>
      </c>
      <c r="S68" s="365">
        <f>インプット!$E68</f>
        <v>16435951.584092641</v>
      </c>
      <c r="T68" s="365">
        <f>インプット!$E68</f>
        <v>16435951.584092641</v>
      </c>
      <c r="U68" s="365">
        <f>インプット!$E68</f>
        <v>16435951.584092641</v>
      </c>
      <c r="V68" s="365">
        <f>インプット!$E68</f>
        <v>16435951.584092641</v>
      </c>
      <c r="W68" s="365">
        <f>インプット!$E68</f>
        <v>16435951.584092641</v>
      </c>
      <c r="X68" s="365">
        <f>インプット!$E68</f>
        <v>16435951.584092641</v>
      </c>
      <c r="Y68" s="365">
        <f>インプット!$E68</f>
        <v>16435951.584092641</v>
      </c>
      <c r="Z68" s="365">
        <f>インプット!$E68</f>
        <v>16435951.584092641</v>
      </c>
      <c r="AA68" s="365">
        <f>インプット!$E68</f>
        <v>16435951.584092641</v>
      </c>
      <c r="AB68" s="365">
        <f>インプット!$E68</f>
        <v>16435951.584092641</v>
      </c>
      <c r="AC68" s="365">
        <f>インプット!$E68</f>
        <v>16435951.584092641</v>
      </c>
      <c r="AD68" s="365">
        <f>インプット!$E68</f>
        <v>16435951.584092641</v>
      </c>
      <c r="AE68" s="365">
        <f>インプット!$E68</f>
        <v>16435951.584092641</v>
      </c>
      <c r="AF68" s="365">
        <f>インプット!$E68</f>
        <v>16435951.584092641</v>
      </c>
      <c r="AG68" s="365">
        <f>インプット!$E68</f>
        <v>16435951.584092641</v>
      </c>
      <c r="AH68" s="365">
        <f>インプット!$E68</f>
        <v>16435951.584092641</v>
      </c>
      <c r="AI68" s="51">
        <f t="shared" si="23"/>
        <v>493078547.52277899</v>
      </c>
    </row>
    <row r="69" spans="2:35" x14ac:dyDescent="0.25">
      <c r="B69" s="104" t="str">
        <f>インプット!B69</f>
        <v>＜その他・費目を入力＞</v>
      </c>
      <c r="C69" s="36" t="s">
        <v>11</v>
      </c>
      <c r="D69" s="107"/>
      <c r="E69" s="365">
        <f>インプット!$E69</f>
        <v>0</v>
      </c>
      <c r="F69" s="365">
        <f>インプット!$E69</f>
        <v>0</v>
      </c>
      <c r="G69" s="365">
        <f>インプット!$E69</f>
        <v>0</v>
      </c>
      <c r="H69" s="365">
        <f>インプット!$E69</f>
        <v>0</v>
      </c>
      <c r="I69" s="365">
        <f>インプット!$E69</f>
        <v>0</v>
      </c>
      <c r="J69" s="365">
        <f>インプット!$E69</f>
        <v>0</v>
      </c>
      <c r="K69" s="365">
        <f>インプット!$E69</f>
        <v>0</v>
      </c>
      <c r="L69" s="365">
        <f>インプット!$E69</f>
        <v>0</v>
      </c>
      <c r="M69" s="365">
        <f>インプット!$E69</f>
        <v>0</v>
      </c>
      <c r="N69" s="365">
        <f>インプット!$E69</f>
        <v>0</v>
      </c>
      <c r="O69" s="365">
        <f>インプット!$E69</f>
        <v>0</v>
      </c>
      <c r="P69" s="365">
        <f>インプット!$E69</f>
        <v>0</v>
      </c>
      <c r="Q69" s="365">
        <f>インプット!$E69</f>
        <v>0</v>
      </c>
      <c r="R69" s="365">
        <f>インプット!$E69</f>
        <v>0</v>
      </c>
      <c r="S69" s="365">
        <f>インプット!$E69</f>
        <v>0</v>
      </c>
      <c r="T69" s="365">
        <f>インプット!$E69</f>
        <v>0</v>
      </c>
      <c r="U69" s="365">
        <f>インプット!$E69</f>
        <v>0</v>
      </c>
      <c r="V69" s="365">
        <f>インプット!$E69</f>
        <v>0</v>
      </c>
      <c r="W69" s="365">
        <f>インプット!$E69</f>
        <v>0</v>
      </c>
      <c r="X69" s="365">
        <f>インプット!$E69</f>
        <v>0</v>
      </c>
      <c r="Y69" s="365">
        <f>インプット!$E69</f>
        <v>0</v>
      </c>
      <c r="Z69" s="365">
        <f>インプット!$E69</f>
        <v>0</v>
      </c>
      <c r="AA69" s="365">
        <f>インプット!$E69</f>
        <v>0</v>
      </c>
      <c r="AB69" s="365">
        <f>インプット!$E69</f>
        <v>0</v>
      </c>
      <c r="AC69" s="365">
        <f>インプット!$E69</f>
        <v>0</v>
      </c>
      <c r="AD69" s="365">
        <f>インプット!$E69</f>
        <v>0</v>
      </c>
      <c r="AE69" s="365">
        <f>インプット!$E69</f>
        <v>0</v>
      </c>
      <c r="AF69" s="365">
        <f>インプット!$E69</f>
        <v>0</v>
      </c>
      <c r="AG69" s="365">
        <f>インプット!$E69</f>
        <v>0</v>
      </c>
      <c r="AH69" s="365">
        <f>インプット!$E69</f>
        <v>0</v>
      </c>
      <c r="AI69" s="51">
        <f t="shared" si="23"/>
        <v>0</v>
      </c>
    </row>
    <row r="70" spans="2:35" x14ac:dyDescent="0.25">
      <c r="B70" s="104" t="str">
        <f>インプット!B70</f>
        <v>＜その他・費目を入力＞</v>
      </c>
      <c r="C70" s="36" t="s">
        <v>11</v>
      </c>
      <c r="D70" s="107"/>
      <c r="E70" s="365">
        <f>インプット!$E70</f>
        <v>0</v>
      </c>
      <c r="F70" s="365">
        <f>インプット!$E70</f>
        <v>0</v>
      </c>
      <c r="G70" s="365">
        <f>インプット!$E70</f>
        <v>0</v>
      </c>
      <c r="H70" s="365">
        <f>インプット!$E70</f>
        <v>0</v>
      </c>
      <c r="I70" s="365">
        <f>インプット!$E70</f>
        <v>0</v>
      </c>
      <c r="J70" s="365">
        <f>インプット!$E70</f>
        <v>0</v>
      </c>
      <c r="K70" s="365">
        <f>インプット!$E70</f>
        <v>0</v>
      </c>
      <c r="L70" s="365">
        <f>インプット!$E70</f>
        <v>0</v>
      </c>
      <c r="M70" s="365">
        <f>インプット!$E70</f>
        <v>0</v>
      </c>
      <c r="N70" s="365">
        <f>インプット!$E70</f>
        <v>0</v>
      </c>
      <c r="O70" s="365">
        <f>インプット!$E70</f>
        <v>0</v>
      </c>
      <c r="P70" s="365">
        <f>インプット!$E70</f>
        <v>0</v>
      </c>
      <c r="Q70" s="365">
        <f>インプット!$E70</f>
        <v>0</v>
      </c>
      <c r="R70" s="365">
        <f>インプット!$E70</f>
        <v>0</v>
      </c>
      <c r="S70" s="365">
        <f>インプット!$E70</f>
        <v>0</v>
      </c>
      <c r="T70" s="365">
        <f>インプット!$E70</f>
        <v>0</v>
      </c>
      <c r="U70" s="365">
        <f>インプット!$E70</f>
        <v>0</v>
      </c>
      <c r="V70" s="365">
        <f>インプット!$E70</f>
        <v>0</v>
      </c>
      <c r="W70" s="365">
        <f>インプット!$E70</f>
        <v>0</v>
      </c>
      <c r="X70" s="365">
        <f>インプット!$E70</f>
        <v>0</v>
      </c>
      <c r="Y70" s="365">
        <f>インプット!$E70</f>
        <v>0</v>
      </c>
      <c r="Z70" s="365">
        <f>インプット!$E70</f>
        <v>0</v>
      </c>
      <c r="AA70" s="365">
        <f>インプット!$E70</f>
        <v>0</v>
      </c>
      <c r="AB70" s="365">
        <f>インプット!$E70</f>
        <v>0</v>
      </c>
      <c r="AC70" s="365">
        <f>インプット!$E70</f>
        <v>0</v>
      </c>
      <c r="AD70" s="365">
        <f>インプット!$E70</f>
        <v>0</v>
      </c>
      <c r="AE70" s="365">
        <f>インプット!$E70</f>
        <v>0</v>
      </c>
      <c r="AF70" s="365">
        <f>インプット!$E70</f>
        <v>0</v>
      </c>
      <c r="AG70" s="365">
        <f>インプット!$E70</f>
        <v>0</v>
      </c>
      <c r="AH70" s="365">
        <f>インプット!$E70</f>
        <v>0</v>
      </c>
      <c r="AI70" s="51">
        <f t="shared" si="23"/>
        <v>0</v>
      </c>
    </row>
    <row r="71" spans="2:35" x14ac:dyDescent="0.25">
      <c r="B71" s="40" t="s">
        <v>48</v>
      </c>
      <c r="C71" s="41" t="s">
        <v>16</v>
      </c>
      <c r="D71" s="42"/>
      <c r="E71" s="127">
        <f t="shared" ref="E71:AH71" si="24">SUM(E43,E65)</f>
        <v>-66640484.159073621</v>
      </c>
      <c r="F71" s="127">
        <f t="shared" si="24"/>
        <v>-66640484.159073621</v>
      </c>
      <c r="G71" s="127">
        <f t="shared" si="24"/>
        <v>-66640484.159073621</v>
      </c>
      <c r="H71" s="127">
        <f t="shared" si="24"/>
        <v>-66640484.159073621</v>
      </c>
      <c r="I71" s="127">
        <f t="shared" si="24"/>
        <v>-66640484.159073621</v>
      </c>
      <c r="J71" s="127">
        <f t="shared" si="24"/>
        <v>-66640484.159073621</v>
      </c>
      <c r="K71" s="127">
        <f t="shared" si="24"/>
        <v>-66640484.159073621</v>
      </c>
      <c r="L71" s="127">
        <f t="shared" si="24"/>
        <v>-66640484.159073621</v>
      </c>
      <c r="M71" s="127">
        <f t="shared" si="24"/>
        <v>-66640484.159073621</v>
      </c>
      <c r="N71" s="127">
        <f t="shared" si="24"/>
        <v>-66640484.159073621</v>
      </c>
      <c r="O71" s="127">
        <f t="shared" si="24"/>
        <v>-66640484.159073621</v>
      </c>
      <c r="P71" s="127">
        <f t="shared" si="24"/>
        <v>-66640484.159073621</v>
      </c>
      <c r="Q71" s="127">
        <f t="shared" si="24"/>
        <v>-66640484.159073621</v>
      </c>
      <c r="R71" s="127">
        <f t="shared" si="24"/>
        <v>-66640484.159073621</v>
      </c>
      <c r="S71" s="127">
        <f t="shared" si="24"/>
        <v>-66640484.159073621</v>
      </c>
      <c r="T71" s="127">
        <f t="shared" si="24"/>
        <v>-66640484.159073621</v>
      </c>
      <c r="U71" s="127">
        <f t="shared" si="24"/>
        <v>-66640484.159073621</v>
      </c>
      <c r="V71" s="127">
        <f t="shared" si="24"/>
        <v>-66640484.159073621</v>
      </c>
      <c r="W71" s="127">
        <f t="shared" si="24"/>
        <v>-66640484.159073621</v>
      </c>
      <c r="X71" s="127">
        <f t="shared" si="24"/>
        <v>-66640484.159073621</v>
      </c>
      <c r="Y71" s="127">
        <f t="shared" si="24"/>
        <v>-66640484.159073621</v>
      </c>
      <c r="Z71" s="127">
        <f t="shared" si="24"/>
        <v>-66640484.159073621</v>
      </c>
      <c r="AA71" s="127">
        <f t="shared" si="24"/>
        <v>-66640484.159073621</v>
      </c>
      <c r="AB71" s="127">
        <f t="shared" si="24"/>
        <v>-66640484.159073621</v>
      </c>
      <c r="AC71" s="127">
        <f t="shared" si="24"/>
        <v>-66640484.159073621</v>
      </c>
      <c r="AD71" s="127">
        <f t="shared" si="24"/>
        <v>-66640484.159073621</v>
      </c>
      <c r="AE71" s="127">
        <f t="shared" si="24"/>
        <v>-66640484.159073621</v>
      </c>
      <c r="AF71" s="127">
        <f t="shared" si="24"/>
        <v>-66640484.159073621</v>
      </c>
      <c r="AG71" s="127">
        <f t="shared" si="24"/>
        <v>-66640484.159073621</v>
      </c>
      <c r="AH71" s="132">
        <f t="shared" si="24"/>
        <v>-66640484.159073621</v>
      </c>
      <c r="AI71" s="43">
        <f t="shared" si="23"/>
        <v>-1999214524.772208</v>
      </c>
    </row>
    <row r="72" spans="2:35" ht="13" x14ac:dyDescent="0.3">
      <c r="B72" s="220" t="s">
        <v>49</v>
      </c>
      <c r="C72" s="221"/>
      <c r="D72" s="222"/>
      <c r="E72" s="223">
        <f t="shared" ref="E72:AH72" si="25">E42-E71</f>
        <v>135241149.0614174</v>
      </c>
      <c r="F72" s="223">
        <f t="shared" si="25"/>
        <v>135241149.0614174</v>
      </c>
      <c r="G72" s="223">
        <f t="shared" si="25"/>
        <v>135241149.0614174</v>
      </c>
      <c r="H72" s="223">
        <f t="shared" si="25"/>
        <v>135241149.0614174</v>
      </c>
      <c r="I72" s="223">
        <f t="shared" si="25"/>
        <v>135241149.0614174</v>
      </c>
      <c r="J72" s="223">
        <f t="shared" si="25"/>
        <v>135241149.0614174</v>
      </c>
      <c r="K72" s="223">
        <f t="shared" si="25"/>
        <v>135241149.0614174</v>
      </c>
      <c r="L72" s="223">
        <f t="shared" si="25"/>
        <v>135241149.0614174</v>
      </c>
      <c r="M72" s="223">
        <f t="shared" si="25"/>
        <v>135241149.0614174</v>
      </c>
      <c r="N72" s="223">
        <f t="shared" si="25"/>
        <v>135241149.0614174</v>
      </c>
      <c r="O72" s="223">
        <f t="shared" si="25"/>
        <v>135241149.0614174</v>
      </c>
      <c r="P72" s="223">
        <f t="shared" si="25"/>
        <v>135241149.0614174</v>
      </c>
      <c r="Q72" s="223">
        <f t="shared" si="25"/>
        <v>135241149.0614174</v>
      </c>
      <c r="R72" s="223">
        <f t="shared" si="25"/>
        <v>135241149.0614174</v>
      </c>
      <c r="S72" s="223">
        <f t="shared" si="25"/>
        <v>135241149.0614174</v>
      </c>
      <c r="T72" s="223">
        <f t="shared" si="25"/>
        <v>135241149.0614174</v>
      </c>
      <c r="U72" s="223">
        <f t="shared" si="25"/>
        <v>135241149.0614174</v>
      </c>
      <c r="V72" s="223">
        <f t="shared" si="25"/>
        <v>135241149.0614174</v>
      </c>
      <c r="W72" s="223">
        <f t="shared" si="25"/>
        <v>135241149.0614174</v>
      </c>
      <c r="X72" s="223">
        <f t="shared" si="25"/>
        <v>135241149.0614174</v>
      </c>
      <c r="Y72" s="223">
        <f t="shared" si="25"/>
        <v>135241149.0614174</v>
      </c>
      <c r="Z72" s="223">
        <f t="shared" si="25"/>
        <v>135241149.0614174</v>
      </c>
      <c r="AA72" s="223">
        <f t="shared" si="25"/>
        <v>135241149.0614174</v>
      </c>
      <c r="AB72" s="223">
        <f t="shared" si="25"/>
        <v>135241149.0614174</v>
      </c>
      <c r="AC72" s="223">
        <f t="shared" si="25"/>
        <v>135241149.0614174</v>
      </c>
      <c r="AD72" s="223">
        <f t="shared" si="25"/>
        <v>135241149.0614174</v>
      </c>
      <c r="AE72" s="223">
        <f t="shared" si="25"/>
        <v>135241149.0614174</v>
      </c>
      <c r="AF72" s="223">
        <f t="shared" si="25"/>
        <v>135241149.0614174</v>
      </c>
      <c r="AG72" s="223">
        <f t="shared" si="25"/>
        <v>135241149.0614174</v>
      </c>
      <c r="AH72" s="224">
        <f t="shared" si="25"/>
        <v>135241149.0614174</v>
      </c>
      <c r="AI72" s="225"/>
    </row>
    <row r="73" spans="2:35" ht="13" x14ac:dyDescent="0.3">
      <c r="B73" s="212" t="s">
        <v>75</v>
      </c>
      <c r="C73" s="30"/>
      <c r="D73" s="217"/>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219"/>
      <c r="AI73" s="218"/>
    </row>
    <row r="74" spans="2:35" x14ac:dyDescent="0.25">
      <c r="B74" s="119" t="s">
        <v>51</v>
      </c>
      <c r="C74" s="121" t="s">
        <v>46</v>
      </c>
      <c r="D74" s="213"/>
      <c r="E74" s="214">
        <f>E130</f>
        <v>-88471921.651918411</v>
      </c>
      <c r="F74" s="214">
        <f t="shared" ref="F74:AH74" si="26">F130</f>
        <v>-88471921.651918411</v>
      </c>
      <c r="G74" s="214">
        <f t="shared" si="26"/>
        <v>-88471921.651918411</v>
      </c>
      <c r="H74" s="214">
        <f t="shared" si="26"/>
        <v>-88471921.651918411</v>
      </c>
      <c r="I74" s="214">
        <f t="shared" si="26"/>
        <v>-88471921.651918411</v>
      </c>
      <c r="J74" s="214">
        <f t="shared" si="26"/>
        <v>-88471921.651918411</v>
      </c>
      <c r="K74" s="214">
        <f t="shared" si="26"/>
        <v>-88471921.651918411</v>
      </c>
      <c r="L74" s="214">
        <f t="shared" si="26"/>
        <v>-88471921.651918411</v>
      </c>
      <c r="M74" s="214">
        <f t="shared" si="26"/>
        <v>-88471921.651918411</v>
      </c>
      <c r="N74" s="214">
        <f t="shared" si="26"/>
        <v>-88471921.651918411</v>
      </c>
      <c r="O74" s="214">
        <f t="shared" si="26"/>
        <v>-88471921.651918411</v>
      </c>
      <c r="P74" s="214">
        <f t="shared" si="26"/>
        <v>-88471921.651918411</v>
      </c>
      <c r="Q74" s="214">
        <f t="shared" si="26"/>
        <v>-88471921.651918411</v>
      </c>
      <c r="R74" s="214">
        <f t="shared" si="26"/>
        <v>-88471921.651918411</v>
      </c>
      <c r="S74" s="214">
        <f t="shared" si="26"/>
        <v>-88471921.651918411</v>
      </c>
      <c r="T74" s="214">
        <f t="shared" si="26"/>
        <v>-10287432.75022307</v>
      </c>
      <c r="U74" s="214">
        <f t="shared" si="26"/>
        <v>-10287432.75022307</v>
      </c>
      <c r="V74" s="214">
        <f t="shared" si="26"/>
        <v>-10287432.75022307</v>
      </c>
      <c r="W74" s="214">
        <f t="shared" si="26"/>
        <v>-10287432.75022307</v>
      </c>
      <c r="X74" s="214">
        <f t="shared" si="26"/>
        <v>-10287432.75022307</v>
      </c>
      <c r="Y74" s="214">
        <f t="shared" si="26"/>
        <v>-10287432.75022307</v>
      </c>
      <c r="Z74" s="214">
        <f t="shared" si="26"/>
        <v>-10287432.75022307</v>
      </c>
      <c r="AA74" s="214">
        <f t="shared" si="26"/>
        <v>-10287432.75022307</v>
      </c>
      <c r="AB74" s="214">
        <f t="shared" si="26"/>
        <v>-10287432.75022307</v>
      </c>
      <c r="AC74" s="214">
        <f t="shared" si="26"/>
        <v>-10287432.75022307</v>
      </c>
      <c r="AD74" s="214">
        <f t="shared" si="26"/>
        <v>-10287432.75022307</v>
      </c>
      <c r="AE74" s="214">
        <f t="shared" si="26"/>
        <v>-10287432.75022307</v>
      </c>
      <c r="AF74" s="214">
        <f t="shared" si="26"/>
        <v>-10287432.75022307</v>
      </c>
      <c r="AG74" s="214">
        <f t="shared" si="26"/>
        <v>-10287432.75022307</v>
      </c>
      <c r="AH74" s="215">
        <f t="shared" si="26"/>
        <v>-10287432.75022307</v>
      </c>
      <c r="AI74" s="216"/>
    </row>
    <row r="75" spans="2:35" x14ac:dyDescent="0.25">
      <c r="B75" s="119" t="s">
        <v>52</v>
      </c>
      <c r="C75" s="36" t="s">
        <v>11</v>
      </c>
      <c r="D75" s="55"/>
      <c r="E75" s="137">
        <f>SUM(E189,E193,E197)</f>
        <v>-10000000</v>
      </c>
      <c r="F75" s="137">
        <f t="shared" ref="F75:AH75" si="27">SUM(F189,F193,F197)</f>
        <v>-9500000</v>
      </c>
      <c r="G75" s="137">
        <f t="shared" si="27"/>
        <v>-9000000</v>
      </c>
      <c r="H75" s="137">
        <f t="shared" si="27"/>
        <v>-8500000</v>
      </c>
      <c r="I75" s="137">
        <f t="shared" si="27"/>
        <v>-8000000</v>
      </c>
      <c r="J75" s="137">
        <f t="shared" si="27"/>
        <v>-7500000</v>
      </c>
      <c r="K75" s="137">
        <f t="shared" si="27"/>
        <v>-7000000</v>
      </c>
      <c r="L75" s="137">
        <f t="shared" si="27"/>
        <v>-6500000</v>
      </c>
      <c r="M75" s="137">
        <f t="shared" si="27"/>
        <v>-6000000</v>
      </c>
      <c r="N75" s="137">
        <f t="shared" si="27"/>
        <v>-5500000</v>
      </c>
      <c r="O75" s="137">
        <f t="shared" si="27"/>
        <v>-5000000</v>
      </c>
      <c r="P75" s="137">
        <f t="shared" si="27"/>
        <v>-4500000</v>
      </c>
      <c r="Q75" s="137">
        <f t="shared" si="27"/>
        <v>-4000000</v>
      </c>
      <c r="R75" s="137">
        <f t="shared" si="27"/>
        <v>-3500000</v>
      </c>
      <c r="S75" s="137">
        <f t="shared" si="27"/>
        <v>-3000000</v>
      </c>
      <c r="T75" s="137">
        <f t="shared" si="27"/>
        <v>-2500000</v>
      </c>
      <c r="U75" s="137">
        <f t="shared" si="27"/>
        <v>-2000000</v>
      </c>
      <c r="V75" s="137">
        <f t="shared" si="27"/>
        <v>-1500000</v>
      </c>
      <c r="W75" s="137">
        <f t="shared" si="27"/>
        <v>-1000000</v>
      </c>
      <c r="X75" s="137">
        <f t="shared" si="27"/>
        <v>-500000</v>
      </c>
      <c r="Y75" s="137">
        <f t="shared" si="27"/>
        <v>0</v>
      </c>
      <c r="Z75" s="137">
        <f t="shared" si="27"/>
        <v>0</v>
      </c>
      <c r="AA75" s="137">
        <f t="shared" si="27"/>
        <v>0</v>
      </c>
      <c r="AB75" s="137">
        <f t="shared" si="27"/>
        <v>0</v>
      </c>
      <c r="AC75" s="137">
        <f t="shared" si="27"/>
        <v>0</v>
      </c>
      <c r="AD75" s="137">
        <f t="shared" si="27"/>
        <v>0</v>
      </c>
      <c r="AE75" s="137">
        <f t="shared" si="27"/>
        <v>0</v>
      </c>
      <c r="AF75" s="137">
        <f t="shared" si="27"/>
        <v>0</v>
      </c>
      <c r="AG75" s="137">
        <f t="shared" si="27"/>
        <v>0</v>
      </c>
      <c r="AH75" s="138">
        <f t="shared" si="27"/>
        <v>0</v>
      </c>
      <c r="AI75" s="51">
        <f>SUM(E75:AH75)</f>
        <v>-105000000</v>
      </c>
    </row>
    <row r="76" spans="2:35" x14ac:dyDescent="0.25">
      <c r="B76" s="208" t="s">
        <v>73</v>
      </c>
      <c r="C76" s="100" t="s">
        <v>71</v>
      </c>
      <c r="D76" s="142"/>
      <c r="E76" s="48">
        <f>E75/(1-$E$77)-E75</f>
        <v>0</v>
      </c>
      <c r="F76" s="48">
        <f t="shared" ref="F76:AH76" si="28">F75/(1-$E$77)-F75</f>
        <v>0</v>
      </c>
      <c r="G76" s="48">
        <f t="shared" si="28"/>
        <v>0</v>
      </c>
      <c r="H76" s="48">
        <f t="shared" si="28"/>
        <v>0</v>
      </c>
      <c r="I76" s="48">
        <f t="shared" si="28"/>
        <v>0</v>
      </c>
      <c r="J76" s="48">
        <f t="shared" si="28"/>
        <v>0</v>
      </c>
      <c r="K76" s="48">
        <f t="shared" si="28"/>
        <v>0</v>
      </c>
      <c r="L76" s="48">
        <f t="shared" si="28"/>
        <v>0</v>
      </c>
      <c r="M76" s="48">
        <f t="shared" si="28"/>
        <v>0</v>
      </c>
      <c r="N76" s="48">
        <f t="shared" si="28"/>
        <v>0</v>
      </c>
      <c r="O76" s="48">
        <f t="shared" si="28"/>
        <v>0</v>
      </c>
      <c r="P76" s="48">
        <f t="shared" si="28"/>
        <v>0</v>
      </c>
      <c r="Q76" s="48">
        <f t="shared" si="28"/>
        <v>0</v>
      </c>
      <c r="R76" s="48">
        <f t="shared" si="28"/>
        <v>0</v>
      </c>
      <c r="S76" s="48">
        <f t="shared" si="28"/>
        <v>0</v>
      </c>
      <c r="T76" s="48">
        <f t="shared" si="28"/>
        <v>0</v>
      </c>
      <c r="U76" s="48">
        <f t="shared" si="28"/>
        <v>0</v>
      </c>
      <c r="V76" s="48">
        <f t="shared" si="28"/>
        <v>0</v>
      </c>
      <c r="W76" s="48">
        <f t="shared" si="28"/>
        <v>0</v>
      </c>
      <c r="X76" s="48">
        <f t="shared" si="28"/>
        <v>0</v>
      </c>
      <c r="Y76" s="48">
        <f t="shared" si="28"/>
        <v>0</v>
      </c>
      <c r="Z76" s="48">
        <f t="shared" si="28"/>
        <v>0</v>
      </c>
      <c r="AA76" s="48">
        <f t="shared" si="28"/>
        <v>0</v>
      </c>
      <c r="AB76" s="48">
        <f t="shared" si="28"/>
        <v>0</v>
      </c>
      <c r="AC76" s="48">
        <f t="shared" si="28"/>
        <v>0</v>
      </c>
      <c r="AD76" s="48">
        <f t="shared" si="28"/>
        <v>0</v>
      </c>
      <c r="AE76" s="48">
        <f t="shared" si="28"/>
        <v>0</v>
      </c>
      <c r="AF76" s="48">
        <f t="shared" si="28"/>
        <v>0</v>
      </c>
      <c r="AG76" s="48">
        <f t="shared" si="28"/>
        <v>0</v>
      </c>
      <c r="AH76" s="48">
        <f t="shared" si="28"/>
        <v>0</v>
      </c>
      <c r="AI76" s="209"/>
    </row>
    <row r="77" spans="2:35" x14ac:dyDescent="0.25">
      <c r="B77" s="208" t="s">
        <v>72</v>
      </c>
      <c r="C77" s="60" t="s">
        <v>36</v>
      </c>
      <c r="D77" s="142"/>
      <c r="E77" s="211">
        <v>0</v>
      </c>
      <c r="F77" s="211">
        <v>0</v>
      </c>
      <c r="G77" s="211">
        <v>0</v>
      </c>
      <c r="H77" s="211">
        <v>0</v>
      </c>
      <c r="I77" s="211">
        <v>0</v>
      </c>
      <c r="J77" s="211">
        <v>0</v>
      </c>
      <c r="K77" s="211">
        <v>0</v>
      </c>
      <c r="L77" s="211">
        <v>0</v>
      </c>
      <c r="M77" s="211">
        <v>0</v>
      </c>
      <c r="N77" s="211">
        <v>0</v>
      </c>
      <c r="O77" s="211">
        <v>0</v>
      </c>
      <c r="P77" s="211">
        <v>0</v>
      </c>
      <c r="Q77" s="211">
        <v>0</v>
      </c>
      <c r="R77" s="211">
        <v>0</v>
      </c>
      <c r="S77" s="211">
        <v>0</v>
      </c>
      <c r="T77" s="211">
        <v>0</v>
      </c>
      <c r="U77" s="211">
        <v>0</v>
      </c>
      <c r="V77" s="211">
        <v>0</v>
      </c>
      <c r="W77" s="211">
        <v>0</v>
      </c>
      <c r="X77" s="211">
        <v>0</v>
      </c>
      <c r="Y77" s="211">
        <v>0</v>
      </c>
      <c r="Z77" s="211">
        <v>0</v>
      </c>
      <c r="AA77" s="211">
        <v>0</v>
      </c>
      <c r="AB77" s="211">
        <v>0</v>
      </c>
      <c r="AC77" s="211">
        <v>0</v>
      </c>
      <c r="AD77" s="211">
        <v>0</v>
      </c>
      <c r="AE77" s="211">
        <v>0</v>
      </c>
      <c r="AF77" s="211">
        <v>0</v>
      </c>
      <c r="AG77" s="211">
        <v>0</v>
      </c>
      <c r="AH77" s="211">
        <v>0</v>
      </c>
      <c r="AI77" s="209"/>
    </row>
    <row r="78" spans="2:35" x14ac:dyDescent="0.25">
      <c r="B78" s="208" t="s">
        <v>76</v>
      </c>
      <c r="C78" s="60"/>
      <c r="D78" s="142"/>
      <c r="E78" s="48">
        <v>0</v>
      </c>
      <c r="F78" s="48">
        <v>0</v>
      </c>
      <c r="G78" s="48">
        <v>0</v>
      </c>
      <c r="H78" s="48">
        <v>0</v>
      </c>
      <c r="I78" s="48">
        <v>0</v>
      </c>
      <c r="J78" s="48">
        <v>0</v>
      </c>
      <c r="K78" s="48">
        <v>0</v>
      </c>
      <c r="L78" s="48">
        <v>0</v>
      </c>
      <c r="M78" s="48">
        <v>0</v>
      </c>
      <c r="N78" s="48">
        <v>0</v>
      </c>
      <c r="O78" s="48">
        <v>0</v>
      </c>
      <c r="P78" s="48">
        <v>0</v>
      </c>
      <c r="Q78" s="48">
        <v>0</v>
      </c>
      <c r="R78" s="48">
        <v>0</v>
      </c>
      <c r="S78" s="48">
        <v>0</v>
      </c>
      <c r="T78" s="48">
        <v>0</v>
      </c>
      <c r="U78" s="48">
        <v>0</v>
      </c>
      <c r="V78" s="48">
        <v>0</v>
      </c>
      <c r="W78" s="48">
        <v>0</v>
      </c>
      <c r="X78" s="48">
        <v>0</v>
      </c>
      <c r="Y78" s="48">
        <v>0</v>
      </c>
      <c r="Z78" s="48">
        <v>0</v>
      </c>
      <c r="AA78" s="48">
        <v>0</v>
      </c>
      <c r="AB78" s="48">
        <v>0</v>
      </c>
      <c r="AC78" s="48">
        <v>0</v>
      </c>
      <c r="AD78" s="48">
        <v>0</v>
      </c>
      <c r="AE78" s="48">
        <v>0</v>
      </c>
      <c r="AF78" s="48">
        <v>0</v>
      </c>
      <c r="AG78" s="48">
        <v>0</v>
      </c>
      <c r="AH78" s="226">
        <v>0</v>
      </c>
      <c r="AI78" s="209"/>
    </row>
    <row r="79" spans="2:35" x14ac:dyDescent="0.25">
      <c r="B79" s="208" t="s">
        <v>79</v>
      </c>
      <c r="C79" s="100" t="s">
        <v>71</v>
      </c>
      <c r="D79" s="142"/>
      <c r="E79" s="48">
        <v>0</v>
      </c>
      <c r="F79" s="48">
        <v>0</v>
      </c>
      <c r="G79" s="48">
        <v>0</v>
      </c>
      <c r="H79" s="48">
        <v>0</v>
      </c>
      <c r="I79" s="48">
        <v>0</v>
      </c>
      <c r="J79" s="48">
        <v>0</v>
      </c>
      <c r="K79" s="48">
        <v>0</v>
      </c>
      <c r="L79" s="48">
        <v>0</v>
      </c>
      <c r="M79" s="48">
        <v>0</v>
      </c>
      <c r="N79" s="48">
        <v>0</v>
      </c>
      <c r="O79" s="48">
        <v>0</v>
      </c>
      <c r="P79" s="48">
        <v>0</v>
      </c>
      <c r="Q79" s="48">
        <v>0</v>
      </c>
      <c r="R79" s="48">
        <v>0</v>
      </c>
      <c r="S79" s="48">
        <v>0</v>
      </c>
      <c r="T79" s="48">
        <v>0</v>
      </c>
      <c r="U79" s="48">
        <v>0</v>
      </c>
      <c r="V79" s="48">
        <v>0</v>
      </c>
      <c r="W79" s="48">
        <v>0</v>
      </c>
      <c r="X79" s="48">
        <v>0</v>
      </c>
      <c r="Y79" s="48">
        <v>0</v>
      </c>
      <c r="Z79" s="48">
        <v>0</v>
      </c>
      <c r="AA79" s="48">
        <v>0</v>
      </c>
      <c r="AB79" s="48">
        <v>0</v>
      </c>
      <c r="AC79" s="48">
        <v>0</v>
      </c>
      <c r="AD79" s="48">
        <v>0</v>
      </c>
      <c r="AE79" s="48">
        <v>0</v>
      </c>
      <c r="AF79" s="48">
        <v>0</v>
      </c>
      <c r="AG79" s="48">
        <v>0</v>
      </c>
      <c r="AH79" s="226">
        <v>0</v>
      </c>
      <c r="AI79" s="209"/>
    </row>
    <row r="80" spans="2:35" x14ac:dyDescent="0.25">
      <c r="B80" s="227" t="s">
        <v>78</v>
      </c>
      <c r="C80" s="60" t="s">
        <v>77</v>
      </c>
      <c r="D80" s="142"/>
      <c r="E80" s="210">
        <v>0</v>
      </c>
      <c r="F80" s="210">
        <v>0</v>
      </c>
      <c r="G80" s="210">
        <v>0</v>
      </c>
      <c r="H80" s="210">
        <v>0</v>
      </c>
      <c r="I80" s="210">
        <v>0</v>
      </c>
      <c r="J80" s="210">
        <v>0</v>
      </c>
      <c r="K80" s="210">
        <v>0</v>
      </c>
      <c r="L80" s="210">
        <v>0</v>
      </c>
      <c r="M80" s="210">
        <v>0</v>
      </c>
      <c r="N80" s="210">
        <v>0</v>
      </c>
      <c r="O80" s="210">
        <v>0</v>
      </c>
      <c r="P80" s="210">
        <v>0</v>
      </c>
      <c r="Q80" s="210">
        <v>0</v>
      </c>
      <c r="R80" s="210">
        <v>0</v>
      </c>
      <c r="S80" s="210">
        <v>0</v>
      </c>
      <c r="T80" s="210">
        <v>0</v>
      </c>
      <c r="U80" s="210">
        <v>0</v>
      </c>
      <c r="V80" s="210">
        <v>0</v>
      </c>
      <c r="W80" s="210">
        <v>0</v>
      </c>
      <c r="X80" s="210">
        <v>0</v>
      </c>
      <c r="Y80" s="210">
        <v>0</v>
      </c>
      <c r="Z80" s="210">
        <v>0</v>
      </c>
      <c r="AA80" s="210">
        <v>0</v>
      </c>
      <c r="AB80" s="210">
        <v>0</v>
      </c>
      <c r="AC80" s="210">
        <v>0</v>
      </c>
      <c r="AD80" s="210">
        <v>0</v>
      </c>
      <c r="AE80" s="210">
        <v>0</v>
      </c>
      <c r="AF80" s="210">
        <v>0</v>
      </c>
      <c r="AG80" s="210">
        <v>0</v>
      </c>
      <c r="AH80" s="210">
        <v>0</v>
      </c>
      <c r="AI80" s="209"/>
    </row>
    <row r="81" spans="2:35" ht="13.5" thickBot="1" x14ac:dyDescent="0.35">
      <c r="B81" s="122" t="s">
        <v>50</v>
      </c>
      <c r="C81" s="123" t="s">
        <v>16</v>
      </c>
      <c r="D81" s="124"/>
      <c r="E81" s="144">
        <f t="shared" ref="E81:AH81" si="29">E72+E74+E75+E76+E78</f>
        <v>36769227.40949899</v>
      </c>
      <c r="F81" s="139">
        <f t="shared" si="29"/>
        <v>37269227.40949899</v>
      </c>
      <c r="G81" s="139">
        <f t="shared" si="29"/>
        <v>37769227.40949899</v>
      </c>
      <c r="H81" s="139">
        <f t="shared" si="29"/>
        <v>38269227.40949899</v>
      </c>
      <c r="I81" s="139">
        <f t="shared" si="29"/>
        <v>38769227.40949899</v>
      </c>
      <c r="J81" s="139">
        <f t="shared" si="29"/>
        <v>39269227.40949899</v>
      </c>
      <c r="K81" s="139">
        <f t="shared" si="29"/>
        <v>39769227.40949899</v>
      </c>
      <c r="L81" s="139">
        <f t="shared" si="29"/>
        <v>40269227.40949899</v>
      </c>
      <c r="M81" s="139">
        <f t="shared" si="29"/>
        <v>40769227.40949899</v>
      </c>
      <c r="N81" s="139">
        <f t="shared" si="29"/>
        <v>41269227.40949899</v>
      </c>
      <c r="O81" s="139">
        <f t="shared" si="29"/>
        <v>41769227.40949899</v>
      </c>
      <c r="P81" s="139">
        <f t="shared" si="29"/>
        <v>42269227.40949899</v>
      </c>
      <c r="Q81" s="139">
        <f t="shared" si="29"/>
        <v>42769227.40949899</v>
      </c>
      <c r="R81" s="139">
        <f t="shared" si="29"/>
        <v>43269227.40949899</v>
      </c>
      <c r="S81" s="139">
        <f t="shared" si="29"/>
        <v>43769227.40949899</v>
      </c>
      <c r="T81" s="139">
        <f t="shared" si="29"/>
        <v>122453716.31119433</v>
      </c>
      <c r="U81" s="139">
        <f t="shared" si="29"/>
        <v>122953716.31119433</v>
      </c>
      <c r="V81" s="139">
        <f t="shared" si="29"/>
        <v>123453716.31119433</v>
      </c>
      <c r="W81" s="139">
        <f t="shared" si="29"/>
        <v>123953716.31119433</v>
      </c>
      <c r="X81" s="139">
        <f t="shared" si="29"/>
        <v>124453716.31119433</v>
      </c>
      <c r="Y81" s="139">
        <f t="shared" si="29"/>
        <v>124953716.31119433</v>
      </c>
      <c r="Z81" s="139">
        <f t="shared" si="29"/>
        <v>124953716.31119433</v>
      </c>
      <c r="AA81" s="139">
        <f t="shared" si="29"/>
        <v>124953716.31119433</v>
      </c>
      <c r="AB81" s="139">
        <f t="shared" si="29"/>
        <v>124953716.31119433</v>
      </c>
      <c r="AC81" s="139">
        <f t="shared" si="29"/>
        <v>124953716.31119433</v>
      </c>
      <c r="AD81" s="139">
        <f t="shared" si="29"/>
        <v>124953716.31119433</v>
      </c>
      <c r="AE81" s="139">
        <f t="shared" si="29"/>
        <v>124953716.31119433</v>
      </c>
      <c r="AF81" s="139">
        <f t="shared" si="29"/>
        <v>124953716.31119433</v>
      </c>
      <c r="AG81" s="139">
        <f t="shared" si="29"/>
        <v>124953716.31119433</v>
      </c>
      <c r="AH81" s="140">
        <f t="shared" si="29"/>
        <v>124953716.31119433</v>
      </c>
      <c r="AI81" s="125">
        <f>SUM(E81:AH81)</f>
        <v>2470844155.8104005</v>
      </c>
    </row>
    <row r="82" spans="2:35" x14ac:dyDescent="0.25">
      <c r="B82" s="119" t="s">
        <v>47</v>
      </c>
      <c r="C82" s="120" t="s">
        <v>11</v>
      </c>
      <c r="D82" s="145"/>
      <c r="E82" s="146">
        <f>-D131*インプット!$E$105</f>
        <v>-21891656.892474696</v>
      </c>
      <c r="F82" s="146">
        <f>-E131*インプット!$E$105</f>
        <v>-20653049.989347842</v>
      </c>
      <c r="G82" s="146">
        <f>-F131*インプット!$E$105</f>
        <v>-19414443.086220983</v>
      </c>
      <c r="H82" s="146">
        <f>-G131*インプット!$E$105</f>
        <v>-18175836.183094125</v>
      </c>
      <c r="I82" s="146">
        <f>-H131*インプット!$E$105</f>
        <v>-16937229.279967267</v>
      </c>
      <c r="J82" s="146">
        <f>-I131*インプット!$E$105</f>
        <v>-15698622.376840409</v>
      </c>
      <c r="K82" s="146">
        <f>-J131*インプット!$E$105</f>
        <v>-14460015.473713551</v>
      </c>
      <c r="L82" s="146">
        <f>-K131*インプット!$E$105</f>
        <v>-13221408.570586693</v>
      </c>
      <c r="M82" s="146">
        <f>-L131*インプット!$E$105</f>
        <v>-11982801.667459836</v>
      </c>
      <c r="N82" s="146">
        <f>-M131*インプット!$E$105</f>
        <v>-10744194.764332978</v>
      </c>
      <c r="O82" s="146">
        <f>-N131*インプット!$E$105</f>
        <v>-9505587.8612061199</v>
      </c>
      <c r="P82" s="146">
        <f>-O131*インプット!$E$105</f>
        <v>-8266980.9580792617</v>
      </c>
      <c r="Q82" s="146">
        <f>-P131*インプット!$E$105</f>
        <v>-7028374.0549524045</v>
      </c>
      <c r="R82" s="146">
        <f>-Q131*インプット!$E$105</f>
        <v>-5789767.1518255463</v>
      </c>
      <c r="S82" s="146">
        <f>-R131*インプット!$E$105</f>
        <v>-4551160.248698689</v>
      </c>
      <c r="T82" s="146">
        <f>-S131*インプット!$E$105</f>
        <v>-3312553.3455718309</v>
      </c>
      <c r="U82" s="146">
        <f>-T131*インプット!$E$105</f>
        <v>-3168529.2870687079</v>
      </c>
      <c r="V82" s="146">
        <f>-U131*インプット!$E$105</f>
        <v>-3024505.2285655849</v>
      </c>
      <c r="W82" s="146">
        <f>-V131*インプット!$E$105</f>
        <v>-2880481.1700624619</v>
      </c>
      <c r="X82" s="146">
        <f>-W131*インプット!$E$105</f>
        <v>-2736457.1115593389</v>
      </c>
      <c r="Y82" s="146">
        <f>-X131*インプット!$E$105</f>
        <v>-2592433.0530562159</v>
      </c>
      <c r="Z82" s="146">
        <f>-Y131*インプット!$E$105</f>
        <v>-2448408.9945530929</v>
      </c>
      <c r="AA82" s="146">
        <f>-Z131*インプット!$E$105</f>
        <v>-2304384.9360499699</v>
      </c>
      <c r="AB82" s="146">
        <f>-AA131*インプット!$E$105</f>
        <v>-2160360.8775468469</v>
      </c>
      <c r="AC82" s="146">
        <f>-AB131*インプット!$E$105</f>
        <v>-2016336.8190437239</v>
      </c>
      <c r="AD82" s="146">
        <f>-AC131*インプット!$E$105</f>
        <v>-1872312.7605406009</v>
      </c>
      <c r="AE82" s="146">
        <f>-AD131*インプット!$E$105</f>
        <v>-1728288.7020374779</v>
      </c>
      <c r="AF82" s="146">
        <f>-AE131*インプット!$E$105</f>
        <v>-1584264.6435343549</v>
      </c>
      <c r="AG82" s="146">
        <f>-AF131*インプット!$E$105</f>
        <v>-1440240.5850312319</v>
      </c>
      <c r="AH82" s="147">
        <f>-AG131*インプット!$E$105</f>
        <v>-1296216.5265281089</v>
      </c>
      <c r="AI82" s="51">
        <f>SUM(E82:AH82)</f>
        <v>-232886902.59954992</v>
      </c>
    </row>
    <row r="83" spans="2:35" x14ac:dyDescent="0.25">
      <c r="B83" s="244" t="s">
        <v>101</v>
      </c>
      <c r="C83" s="56" t="s">
        <v>11</v>
      </c>
      <c r="D83" s="55"/>
      <c r="E83" s="137">
        <f>MIN(-E104*インプット!$E$106,0)</f>
        <v>-11030768.222849697</v>
      </c>
      <c r="F83" s="137">
        <f>MIN(-F104*インプット!$E$106,0)</f>
        <v>-11180768.222849697</v>
      </c>
      <c r="G83" s="137">
        <f>MIN(-G104*インプット!$E$106,0)</f>
        <v>-11330768.222849697</v>
      </c>
      <c r="H83" s="137">
        <f>MIN(-H104*インプット!$E$106,0)</f>
        <v>-11480768.222849697</v>
      </c>
      <c r="I83" s="137">
        <f>MIN(-I104*インプット!$E$106,0)</f>
        <v>-11630768.222849697</v>
      </c>
      <c r="J83" s="137">
        <f>MIN(-J104*インプット!$E$106,0)</f>
        <v>-11780768.222849697</v>
      </c>
      <c r="K83" s="137">
        <f>MIN(-K104*インプット!$E$106,0)</f>
        <v>-11930768.222849697</v>
      </c>
      <c r="L83" s="137">
        <f>MIN(-L104*インプット!$E$106,0)</f>
        <v>-12080768.222849697</v>
      </c>
      <c r="M83" s="137">
        <f>MIN(-M104*インプット!$E$106,0)</f>
        <v>-12230768.222849697</v>
      </c>
      <c r="N83" s="137">
        <f>MIN(-N104*インプット!$E$106,0)</f>
        <v>-12380768.222849697</v>
      </c>
      <c r="O83" s="137">
        <f>MIN(-O104*インプット!$E$106,0)</f>
        <v>-12530768.222849697</v>
      </c>
      <c r="P83" s="137">
        <f>MIN(-P104*インプット!$E$106,0)</f>
        <v>-12680768.222849697</v>
      </c>
      <c r="Q83" s="137">
        <f>MIN(-Q104*インプット!$E$106,0)</f>
        <v>-12830768.222849697</v>
      </c>
      <c r="R83" s="137">
        <f>MIN(-R104*インプット!$E$106,0)</f>
        <v>-12980768.222849697</v>
      </c>
      <c r="S83" s="137">
        <f>MIN(-S104*インプット!$E$106,0)</f>
        <v>-13130768.222849697</v>
      </c>
      <c r="T83" s="137">
        <f>MIN(-T104*インプット!$E$106,0)</f>
        <v>-36736114.893358298</v>
      </c>
      <c r="U83" s="137">
        <f>MIN(-U104*インプット!$E$106,0)</f>
        <v>-36886114.893358298</v>
      </c>
      <c r="V83" s="137">
        <f>MIN(-V104*インプット!$E$106,0)</f>
        <v>-37036114.893358298</v>
      </c>
      <c r="W83" s="137">
        <f>MIN(-W104*インプット!$E$106,0)</f>
        <v>-37186114.893358298</v>
      </c>
      <c r="X83" s="137">
        <f>MIN(-X104*インプット!$E$106,0)</f>
        <v>-37336114.893358298</v>
      </c>
      <c r="Y83" s="137">
        <f>MIN(-Y104*インプット!$E$106,0)</f>
        <v>-37486114.893358298</v>
      </c>
      <c r="Z83" s="137">
        <f>MIN(-Z104*インプット!$E$106,0)</f>
        <v>-37486114.893358298</v>
      </c>
      <c r="AA83" s="137">
        <f>MIN(-AA104*インプット!$E$106,0)</f>
        <v>-37486114.893358298</v>
      </c>
      <c r="AB83" s="137">
        <f>MIN(-AB104*インプット!$E$106,0)</f>
        <v>-37486114.893358298</v>
      </c>
      <c r="AC83" s="137">
        <f>MIN(-AC104*インプット!$E$106,0)</f>
        <v>-37486114.893358298</v>
      </c>
      <c r="AD83" s="137">
        <f>MIN(-AD104*インプット!$E$106,0)</f>
        <v>-37486114.893358298</v>
      </c>
      <c r="AE83" s="137">
        <f>MIN(-AE104*インプット!$E$106,0)</f>
        <v>-37486114.893358298</v>
      </c>
      <c r="AF83" s="137">
        <f>MIN(-AF104*インプット!$E$106,0)</f>
        <v>-37486114.893358298</v>
      </c>
      <c r="AG83" s="137">
        <f>MIN(-AG104*インプット!$E$106,0)</f>
        <v>-37486114.893358298</v>
      </c>
      <c r="AH83" s="137">
        <f>MIN(-AH104*インプット!$E$106,0)</f>
        <v>-37486114.893358298</v>
      </c>
      <c r="AI83" s="51">
        <f>SUM(E83:AH83)</f>
        <v>-741253246.74312019</v>
      </c>
    </row>
    <row r="84" spans="2:35" x14ac:dyDescent="0.25">
      <c r="B84" s="230" t="s">
        <v>95</v>
      </c>
      <c r="C84" s="231" t="s">
        <v>71</v>
      </c>
      <c r="D84" s="232"/>
      <c r="E84" s="233">
        <f>IF(E81&gt;0,E81,0)</f>
        <v>36769227.40949899</v>
      </c>
      <c r="F84" s="233">
        <f t="shared" ref="F84:AH84" si="30">IF(F81&gt;0,F81,0)</f>
        <v>37269227.40949899</v>
      </c>
      <c r="G84" s="233">
        <f t="shared" si="30"/>
        <v>37769227.40949899</v>
      </c>
      <c r="H84" s="233">
        <f t="shared" si="30"/>
        <v>38269227.40949899</v>
      </c>
      <c r="I84" s="233">
        <f t="shared" si="30"/>
        <v>38769227.40949899</v>
      </c>
      <c r="J84" s="233">
        <f t="shared" si="30"/>
        <v>39269227.40949899</v>
      </c>
      <c r="K84" s="233">
        <f t="shared" si="30"/>
        <v>39769227.40949899</v>
      </c>
      <c r="L84" s="233">
        <f t="shared" si="30"/>
        <v>40269227.40949899</v>
      </c>
      <c r="M84" s="233">
        <f t="shared" si="30"/>
        <v>40769227.40949899</v>
      </c>
      <c r="N84" s="233">
        <f t="shared" si="30"/>
        <v>41269227.40949899</v>
      </c>
      <c r="O84" s="233">
        <f t="shared" si="30"/>
        <v>41769227.40949899</v>
      </c>
      <c r="P84" s="233">
        <f t="shared" si="30"/>
        <v>42269227.40949899</v>
      </c>
      <c r="Q84" s="233">
        <f t="shared" si="30"/>
        <v>42769227.40949899</v>
      </c>
      <c r="R84" s="233">
        <f t="shared" si="30"/>
        <v>43269227.40949899</v>
      </c>
      <c r="S84" s="233">
        <f t="shared" si="30"/>
        <v>43769227.40949899</v>
      </c>
      <c r="T84" s="233">
        <f t="shared" si="30"/>
        <v>122453716.31119433</v>
      </c>
      <c r="U84" s="233">
        <f t="shared" si="30"/>
        <v>122953716.31119433</v>
      </c>
      <c r="V84" s="233">
        <f t="shared" si="30"/>
        <v>123453716.31119433</v>
      </c>
      <c r="W84" s="233">
        <f t="shared" si="30"/>
        <v>123953716.31119433</v>
      </c>
      <c r="X84" s="233">
        <f t="shared" si="30"/>
        <v>124453716.31119433</v>
      </c>
      <c r="Y84" s="233">
        <f t="shared" si="30"/>
        <v>124953716.31119433</v>
      </c>
      <c r="Z84" s="233">
        <f t="shared" si="30"/>
        <v>124953716.31119433</v>
      </c>
      <c r="AA84" s="233">
        <f t="shared" si="30"/>
        <v>124953716.31119433</v>
      </c>
      <c r="AB84" s="233">
        <f t="shared" si="30"/>
        <v>124953716.31119433</v>
      </c>
      <c r="AC84" s="233">
        <f t="shared" si="30"/>
        <v>124953716.31119433</v>
      </c>
      <c r="AD84" s="233">
        <f t="shared" si="30"/>
        <v>124953716.31119433</v>
      </c>
      <c r="AE84" s="233">
        <f t="shared" si="30"/>
        <v>124953716.31119433</v>
      </c>
      <c r="AF84" s="233">
        <f t="shared" si="30"/>
        <v>124953716.31119433</v>
      </c>
      <c r="AG84" s="233">
        <f t="shared" si="30"/>
        <v>124953716.31119433</v>
      </c>
      <c r="AH84" s="234">
        <f t="shared" si="30"/>
        <v>124953716.31119433</v>
      </c>
      <c r="AI84" s="235"/>
    </row>
    <row r="85" spans="2:35" x14ac:dyDescent="0.25">
      <c r="B85" s="237" t="s">
        <v>96</v>
      </c>
      <c r="C85" s="238" t="s">
        <v>71</v>
      </c>
      <c r="D85" s="239"/>
      <c r="E85" s="240">
        <f t="shared" ref="E85:AH85" si="31">IF(E81&lt;0,-E81,0)</f>
        <v>0</v>
      </c>
      <c r="F85" s="240">
        <f t="shared" si="31"/>
        <v>0</v>
      </c>
      <c r="G85" s="240">
        <f t="shared" si="31"/>
        <v>0</v>
      </c>
      <c r="H85" s="240">
        <f t="shared" si="31"/>
        <v>0</v>
      </c>
      <c r="I85" s="240">
        <f t="shared" si="31"/>
        <v>0</v>
      </c>
      <c r="J85" s="240">
        <f t="shared" si="31"/>
        <v>0</v>
      </c>
      <c r="K85" s="240">
        <f t="shared" si="31"/>
        <v>0</v>
      </c>
      <c r="L85" s="240">
        <f t="shared" si="31"/>
        <v>0</v>
      </c>
      <c r="M85" s="240">
        <f t="shared" si="31"/>
        <v>0</v>
      </c>
      <c r="N85" s="240">
        <f t="shared" si="31"/>
        <v>0</v>
      </c>
      <c r="O85" s="240">
        <f t="shared" si="31"/>
        <v>0</v>
      </c>
      <c r="P85" s="240">
        <f t="shared" si="31"/>
        <v>0</v>
      </c>
      <c r="Q85" s="240">
        <f t="shared" si="31"/>
        <v>0</v>
      </c>
      <c r="R85" s="240">
        <f t="shared" si="31"/>
        <v>0</v>
      </c>
      <c r="S85" s="240">
        <f t="shared" si="31"/>
        <v>0</v>
      </c>
      <c r="T85" s="240">
        <f t="shared" si="31"/>
        <v>0</v>
      </c>
      <c r="U85" s="240">
        <f t="shared" si="31"/>
        <v>0</v>
      </c>
      <c r="V85" s="240">
        <f t="shared" si="31"/>
        <v>0</v>
      </c>
      <c r="W85" s="240">
        <f t="shared" si="31"/>
        <v>0</v>
      </c>
      <c r="X85" s="240">
        <f t="shared" si="31"/>
        <v>0</v>
      </c>
      <c r="Y85" s="240">
        <f t="shared" si="31"/>
        <v>0</v>
      </c>
      <c r="Z85" s="240">
        <f t="shared" si="31"/>
        <v>0</v>
      </c>
      <c r="AA85" s="240">
        <f t="shared" si="31"/>
        <v>0</v>
      </c>
      <c r="AB85" s="240">
        <f t="shared" si="31"/>
        <v>0</v>
      </c>
      <c r="AC85" s="240">
        <f t="shared" si="31"/>
        <v>0</v>
      </c>
      <c r="AD85" s="240">
        <f t="shared" si="31"/>
        <v>0</v>
      </c>
      <c r="AE85" s="240">
        <f t="shared" si="31"/>
        <v>0</v>
      </c>
      <c r="AF85" s="240">
        <f t="shared" si="31"/>
        <v>0</v>
      </c>
      <c r="AG85" s="240">
        <f t="shared" si="31"/>
        <v>0</v>
      </c>
      <c r="AH85" s="241">
        <f t="shared" si="31"/>
        <v>0</v>
      </c>
      <c r="AI85" s="242"/>
    </row>
    <row r="86" spans="2:35" x14ac:dyDescent="0.25">
      <c r="B86" s="230" t="s">
        <v>82</v>
      </c>
      <c r="C86" s="231" t="s">
        <v>71</v>
      </c>
      <c r="D86" s="232"/>
      <c r="E86" s="236" t="s">
        <v>80</v>
      </c>
      <c r="F86" s="233">
        <f t="shared" ref="F86:AH86" si="32">IF(E85&gt;0,E85,0)</f>
        <v>0</v>
      </c>
      <c r="G86" s="233">
        <f t="shared" si="32"/>
        <v>0</v>
      </c>
      <c r="H86" s="233">
        <f t="shared" si="32"/>
        <v>0</v>
      </c>
      <c r="I86" s="233">
        <f t="shared" si="32"/>
        <v>0</v>
      </c>
      <c r="J86" s="233">
        <f t="shared" si="32"/>
        <v>0</v>
      </c>
      <c r="K86" s="233">
        <f t="shared" si="32"/>
        <v>0</v>
      </c>
      <c r="L86" s="233">
        <f t="shared" si="32"/>
        <v>0</v>
      </c>
      <c r="M86" s="233">
        <f t="shared" si="32"/>
        <v>0</v>
      </c>
      <c r="N86" s="233">
        <f t="shared" si="32"/>
        <v>0</v>
      </c>
      <c r="O86" s="233">
        <f t="shared" si="32"/>
        <v>0</v>
      </c>
      <c r="P86" s="233">
        <f t="shared" si="32"/>
        <v>0</v>
      </c>
      <c r="Q86" s="233">
        <f t="shared" si="32"/>
        <v>0</v>
      </c>
      <c r="R86" s="233">
        <f t="shared" si="32"/>
        <v>0</v>
      </c>
      <c r="S86" s="233">
        <f t="shared" si="32"/>
        <v>0</v>
      </c>
      <c r="T86" s="233">
        <f t="shared" si="32"/>
        <v>0</v>
      </c>
      <c r="U86" s="233">
        <f t="shared" si="32"/>
        <v>0</v>
      </c>
      <c r="V86" s="233">
        <f t="shared" si="32"/>
        <v>0</v>
      </c>
      <c r="W86" s="233">
        <f t="shared" si="32"/>
        <v>0</v>
      </c>
      <c r="X86" s="233">
        <f t="shared" si="32"/>
        <v>0</v>
      </c>
      <c r="Y86" s="233">
        <f t="shared" si="32"/>
        <v>0</v>
      </c>
      <c r="Z86" s="233">
        <f t="shared" si="32"/>
        <v>0</v>
      </c>
      <c r="AA86" s="233">
        <f t="shared" si="32"/>
        <v>0</v>
      </c>
      <c r="AB86" s="233">
        <f t="shared" si="32"/>
        <v>0</v>
      </c>
      <c r="AC86" s="233">
        <f t="shared" si="32"/>
        <v>0</v>
      </c>
      <c r="AD86" s="233">
        <f t="shared" si="32"/>
        <v>0</v>
      </c>
      <c r="AE86" s="233">
        <f t="shared" si="32"/>
        <v>0</v>
      </c>
      <c r="AF86" s="233">
        <f t="shared" si="32"/>
        <v>0</v>
      </c>
      <c r="AG86" s="233">
        <f t="shared" si="32"/>
        <v>0</v>
      </c>
      <c r="AH86" s="234">
        <f t="shared" si="32"/>
        <v>0</v>
      </c>
      <c r="AI86" s="235"/>
    </row>
    <row r="87" spans="2:35" x14ac:dyDescent="0.25">
      <c r="B87" s="230" t="s">
        <v>83</v>
      </c>
      <c r="C87" s="231" t="s">
        <v>71</v>
      </c>
      <c r="D87" s="232"/>
      <c r="E87" s="236" t="s">
        <v>80</v>
      </c>
      <c r="F87" s="233">
        <f>MIN(0,-MIN(F$84,F86))</f>
        <v>0</v>
      </c>
      <c r="G87" s="233">
        <f>MIN(0,-MIN(G90+G$84,G86))</f>
        <v>0</v>
      </c>
      <c r="H87" s="233">
        <f>MIN(0,-MIN(H$84+H90+H93,H86))</f>
        <v>0</v>
      </c>
      <c r="I87" s="233">
        <f t="shared" ref="I87:AH87" si="33">MIN(0,-MIN(I96+I93+I90+I$84,I86))</f>
        <v>0</v>
      </c>
      <c r="J87" s="233">
        <f t="shared" si="33"/>
        <v>0</v>
      </c>
      <c r="K87" s="233">
        <f t="shared" si="33"/>
        <v>0</v>
      </c>
      <c r="L87" s="233">
        <f t="shared" si="33"/>
        <v>0</v>
      </c>
      <c r="M87" s="233">
        <f t="shared" si="33"/>
        <v>0</v>
      </c>
      <c r="N87" s="233">
        <f t="shared" si="33"/>
        <v>0</v>
      </c>
      <c r="O87" s="233">
        <f t="shared" si="33"/>
        <v>0</v>
      </c>
      <c r="P87" s="233">
        <f t="shared" si="33"/>
        <v>0</v>
      </c>
      <c r="Q87" s="233">
        <f t="shared" si="33"/>
        <v>0</v>
      </c>
      <c r="R87" s="233">
        <f t="shared" si="33"/>
        <v>0</v>
      </c>
      <c r="S87" s="233">
        <f t="shared" si="33"/>
        <v>0</v>
      </c>
      <c r="T87" s="233">
        <f t="shared" si="33"/>
        <v>0</v>
      </c>
      <c r="U87" s="233">
        <f t="shared" si="33"/>
        <v>0</v>
      </c>
      <c r="V87" s="233">
        <f t="shared" si="33"/>
        <v>0</v>
      </c>
      <c r="W87" s="233">
        <f t="shared" si="33"/>
        <v>0</v>
      </c>
      <c r="X87" s="233">
        <f t="shared" si="33"/>
        <v>0</v>
      </c>
      <c r="Y87" s="233">
        <f t="shared" si="33"/>
        <v>0</v>
      </c>
      <c r="Z87" s="233">
        <f t="shared" si="33"/>
        <v>0</v>
      </c>
      <c r="AA87" s="233">
        <f t="shared" si="33"/>
        <v>0</v>
      </c>
      <c r="AB87" s="233">
        <f t="shared" si="33"/>
        <v>0</v>
      </c>
      <c r="AC87" s="233">
        <f t="shared" si="33"/>
        <v>0</v>
      </c>
      <c r="AD87" s="233">
        <f t="shared" si="33"/>
        <v>0</v>
      </c>
      <c r="AE87" s="233">
        <f t="shared" si="33"/>
        <v>0</v>
      </c>
      <c r="AF87" s="233">
        <f t="shared" si="33"/>
        <v>0</v>
      </c>
      <c r="AG87" s="233">
        <f t="shared" si="33"/>
        <v>0</v>
      </c>
      <c r="AH87" s="233">
        <f t="shared" si="33"/>
        <v>0</v>
      </c>
      <c r="AI87" s="235"/>
    </row>
    <row r="88" spans="2:35" x14ac:dyDescent="0.25">
      <c r="B88" s="230" t="s">
        <v>84</v>
      </c>
      <c r="C88" s="231" t="s">
        <v>71</v>
      </c>
      <c r="D88" s="232"/>
      <c r="E88" s="236" t="str">
        <f>E86</f>
        <v>-</v>
      </c>
      <c r="F88" s="233">
        <f t="shared" ref="F88:AH88" si="34">SUM(F86:F87)</f>
        <v>0</v>
      </c>
      <c r="G88" s="233">
        <f t="shared" si="34"/>
        <v>0</v>
      </c>
      <c r="H88" s="233">
        <f t="shared" si="34"/>
        <v>0</v>
      </c>
      <c r="I88" s="233">
        <f t="shared" si="34"/>
        <v>0</v>
      </c>
      <c r="J88" s="233">
        <f t="shared" si="34"/>
        <v>0</v>
      </c>
      <c r="K88" s="233">
        <f t="shared" si="34"/>
        <v>0</v>
      </c>
      <c r="L88" s="233">
        <f t="shared" si="34"/>
        <v>0</v>
      </c>
      <c r="M88" s="233">
        <f t="shared" si="34"/>
        <v>0</v>
      </c>
      <c r="N88" s="233">
        <f t="shared" si="34"/>
        <v>0</v>
      </c>
      <c r="O88" s="233">
        <f t="shared" si="34"/>
        <v>0</v>
      </c>
      <c r="P88" s="233">
        <f t="shared" si="34"/>
        <v>0</v>
      </c>
      <c r="Q88" s="233">
        <f t="shared" si="34"/>
        <v>0</v>
      </c>
      <c r="R88" s="233">
        <f t="shared" si="34"/>
        <v>0</v>
      </c>
      <c r="S88" s="233">
        <f t="shared" si="34"/>
        <v>0</v>
      </c>
      <c r="T88" s="233">
        <f t="shared" si="34"/>
        <v>0</v>
      </c>
      <c r="U88" s="233">
        <f t="shared" si="34"/>
        <v>0</v>
      </c>
      <c r="V88" s="233">
        <f t="shared" si="34"/>
        <v>0</v>
      </c>
      <c r="W88" s="233">
        <f t="shared" si="34"/>
        <v>0</v>
      </c>
      <c r="X88" s="233">
        <f t="shared" si="34"/>
        <v>0</v>
      </c>
      <c r="Y88" s="233">
        <f t="shared" si="34"/>
        <v>0</v>
      </c>
      <c r="Z88" s="233">
        <f t="shared" si="34"/>
        <v>0</v>
      </c>
      <c r="AA88" s="233">
        <f t="shared" si="34"/>
        <v>0</v>
      </c>
      <c r="AB88" s="233">
        <f t="shared" si="34"/>
        <v>0</v>
      </c>
      <c r="AC88" s="233">
        <f t="shared" si="34"/>
        <v>0</v>
      </c>
      <c r="AD88" s="233">
        <f t="shared" si="34"/>
        <v>0</v>
      </c>
      <c r="AE88" s="233">
        <f t="shared" si="34"/>
        <v>0</v>
      </c>
      <c r="AF88" s="233">
        <f t="shared" si="34"/>
        <v>0</v>
      </c>
      <c r="AG88" s="233">
        <f t="shared" si="34"/>
        <v>0</v>
      </c>
      <c r="AH88" s="234">
        <f t="shared" si="34"/>
        <v>0</v>
      </c>
      <c r="AI88" s="235"/>
    </row>
    <row r="89" spans="2:35" x14ac:dyDescent="0.25">
      <c r="B89" s="230" t="s">
        <v>85</v>
      </c>
      <c r="C89" s="231" t="s">
        <v>71</v>
      </c>
      <c r="D89" s="232"/>
      <c r="E89" s="236" t="s">
        <v>80</v>
      </c>
      <c r="F89" s="236" t="s">
        <v>80</v>
      </c>
      <c r="G89" s="233">
        <f t="shared" ref="G89:AH89" si="35">F88</f>
        <v>0</v>
      </c>
      <c r="H89" s="233">
        <f t="shared" si="35"/>
        <v>0</v>
      </c>
      <c r="I89" s="233">
        <f t="shared" si="35"/>
        <v>0</v>
      </c>
      <c r="J89" s="233">
        <f t="shared" si="35"/>
        <v>0</v>
      </c>
      <c r="K89" s="233">
        <f t="shared" si="35"/>
        <v>0</v>
      </c>
      <c r="L89" s="233">
        <f t="shared" si="35"/>
        <v>0</v>
      </c>
      <c r="M89" s="233">
        <f t="shared" si="35"/>
        <v>0</v>
      </c>
      <c r="N89" s="233">
        <f t="shared" si="35"/>
        <v>0</v>
      </c>
      <c r="O89" s="233">
        <f t="shared" si="35"/>
        <v>0</v>
      </c>
      <c r="P89" s="233">
        <f t="shared" si="35"/>
        <v>0</v>
      </c>
      <c r="Q89" s="233">
        <f t="shared" si="35"/>
        <v>0</v>
      </c>
      <c r="R89" s="233">
        <f t="shared" si="35"/>
        <v>0</v>
      </c>
      <c r="S89" s="233">
        <f t="shared" si="35"/>
        <v>0</v>
      </c>
      <c r="T89" s="233">
        <f t="shared" si="35"/>
        <v>0</v>
      </c>
      <c r="U89" s="233">
        <f t="shared" si="35"/>
        <v>0</v>
      </c>
      <c r="V89" s="233">
        <f t="shared" si="35"/>
        <v>0</v>
      </c>
      <c r="W89" s="233">
        <f t="shared" si="35"/>
        <v>0</v>
      </c>
      <c r="X89" s="233">
        <f t="shared" si="35"/>
        <v>0</v>
      </c>
      <c r="Y89" s="233">
        <f t="shared" si="35"/>
        <v>0</v>
      </c>
      <c r="Z89" s="233">
        <f t="shared" si="35"/>
        <v>0</v>
      </c>
      <c r="AA89" s="233">
        <f t="shared" si="35"/>
        <v>0</v>
      </c>
      <c r="AB89" s="233">
        <f t="shared" si="35"/>
        <v>0</v>
      </c>
      <c r="AC89" s="233">
        <f t="shared" si="35"/>
        <v>0</v>
      </c>
      <c r="AD89" s="233">
        <f t="shared" si="35"/>
        <v>0</v>
      </c>
      <c r="AE89" s="233">
        <f t="shared" si="35"/>
        <v>0</v>
      </c>
      <c r="AF89" s="233">
        <f t="shared" si="35"/>
        <v>0</v>
      </c>
      <c r="AG89" s="233">
        <f t="shared" si="35"/>
        <v>0</v>
      </c>
      <c r="AH89" s="234">
        <f t="shared" si="35"/>
        <v>0</v>
      </c>
      <c r="AI89" s="235"/>
    </row>
    <row r="90" spans="2:35" x14ac:dyDescent="0.25">
      <c r="B90" s="230" t="s">
        <v>83</v>
      </c>
      <c r="C90" s="231" t="s">
        <v>71</v>
      </c>
      <c r="D90" s="232"/>
      <c r="E90" s="236" t="s">
        <v>80</v>
      </c>
      <c r="F90" s="236" t="s">
        <v>80</v>
      </c>
      <c r="G90" s="233">
        <f>MIN(0,-MIN(G$84,G89))</f>
        <v>0</v>
      </c>
      <c r="H90" s="233">
        <f>MIN(0,-MIN(H93+H$84,H89))</f>
        <v>0</v>
      </c>
      <c r="I90" s="233">
        <f>MIN(0,-MIN(I96+I93+I$84,I89))</f>
        <v>0</v>
      </c>
      <c r="J90" s="233">
        <f t="shared" ref="J90:AH90" si="36">MIN(0,-MIN(J99+J96+J93+J$84,J89))</f>
        <v>0</v>
      </c>
      <c r="K90" s="233">
        <f t="shared" si="36"/>
        <v>0</v>
      </c>
      <c r="L90" s="233">
        <f t="shared" si="36"/>
        <v>0</v>
      </c>
      <c r="M90" s="233">
        <f t="shared" si="36"/>
        <v>0</v>
      </c>
      <c r="N90" s="233">
        <f t="shared" si="36"/>
        <v>0</v>
      </c>
      <c r="O90" s="233">
        <f t="shared" si="36"/>
        <v>0</v>
      </c>
      <c r="P90" s="233">
        <f t="shared" si="36"/>
        <v>0</v>
      </c>
      <c r="Q90" s="233">
        <f t="shared" si="36"/>
        <v>0</v>
      </c>
      <c r="R90" s="233">
        <f t="shared" si="36"/>
        <v>0</v>
      </c>
      <c r="S90" s="233">
        <f t="shared" si="36"/>
        <v>0</v>
      </c>
      <c r="T90" s="233">
        <f t="shared" si="36"/>
        <v>0</v>
      </c>
      <c r="U90" s="233">
        <f t="shared" si="36"/>
        <v>0</v>
      </c>
      <c r="V90" s="233">
        <f t="shared" si="36"/>
        <v>0</v>
      </c>
      <c r="W90" s="233">
        <f t="shared" si="36"/>
        <v>0</v>
      </c>
      <c r="X90" s="233">
        <f t="shared" si="36"/>
        <v>0</v>
      </c>
      <c r="Y90" s="233">
        <f t="shared" si="36"/>
        <v>0</v>
      </c>
      <c r="Z90" s="233">
        <f t="shared" si="36"/>
        <v>0</v>
      </c>
      <c r="AA90" s="233">
        <f t="shared" si="36"/>
        <v>0</v>
      </c>
      <c r="AB90" s="233">
        <f t="shared" si="36"/>
        <v>0</v>
      </c>
      <c r="AC90" s="233">
        <f t="shared" si="36"/>
        <v>0</v>
      </c>
      <c r="AD90" s="233">
        <f t="shared" si="36"/>
        <v>0</v>
      </c>
      <c r="AE90" s="233">
        <f t="shared" si="36"/>
        <v>0</v>
      </c>
      <c r="AF90" s="233">
        <f t="shared" si="36"/>
        <v>0</v>
      </c>
      <c r="AG90" s="233">
        <f t="shared" si="36"/>
        <v>0</v>
      </c>
      <c r="AH90" s="233">
        <f t="shared" si="36"/>
        <v>0</v>
      </c>
      <c r="AI90" s="235"/>
    </row>
    <row r="91" spans="2:35" x14ac:dyDescent="0.25">
      <c r="B91" s="230" t="s">
        <v>86</v>
      </c>
      <c r="C91" s="231" t="s">
        <v>71</v>
      </c>
      <c r="D91" s="232"/>
      <c r="E91" s="236" t="s">
        <v>80</v>
      </c>
      <c r="F91" s="236" t="s">
        <v>80</v>
      </c>
      <c r="G91" s="233">
        <f t="shared" ref="G91:AH91" si="37">G89+G90</f>
        <v>0</v>
      </c>
      <c r="H91" s="233">
        <f t="shared" si="37"/>
        <v>0</v>
      </c>
      <c r="I91" s="233">
        <f t="shared" si="37"/>
        <v>0</v>
      </c>
      <c r="J91" s="233">
        <f t="shared" si="37"/>
        <v>0</v>
      </c>
      <c r="K91" s="233">
        <f t="shared" si="37"/>
        <v>0</v>
      </c>
      <c r="L91" s="233">
        <f t="shared" si="37"/>
        <v>0</v>
      </c>
      <c r="M91" s="233">
        <f t="shared" si="37"/>
        <v>0</v>
      </c>
      <c r="N91" s="233">
        <f t="shared" si="37"/>
        <v>0</v>
      </c>
      <c r="O91" s="233">
        <f t="shared" si="37"/>
        <v>0</v>
      </c>
      <c r="P91" s="233">
        <f t="shared" si="37"/>
        <v>0</v>
      </c>
      <c r="Q91" s="233">
        <f t="shared" si="37"/>
        <v>0</v>
      </c>
      <c r="R91" s="233">
        <f t="shared" si="37"/>
        <v>0</v>
      </c>
      <c r="S91" s="233">
        <f t="shared" si="37"/>
        <v>0</v>
      </c>
      <c r="T91" s="233">
        <f t="shared" si="37"/>
        <v>0</v>
      </c>
      <c r="U91" s="233">
        <f t="shared" si="37"/>
        <v>0</v>
      </c>
      <c r="V91" s="233">
        <f t="shared" si="37"/>
        <v>0</v>
      </c>
      <c r="W91" s="233">
        <f t="shared" si="37"/>
        <v>0</v>
      </c>
      <c r="X91" s="233">
        <f t="shared" si="37"/>
        <v>0</v>
      </c>
      <c r="Y91" s="233">
        <f t="shared" si="37"/>
        <v>0</v>
      </c>
      <c r="Z91" s="233">
        <f t="shared" si="37"/>
        <v>0</v>
      </c>
      <c r="AA91" s="233">
        <f t="shared" si="37"/>
        <v>0</v>
      </c>
      <c r="AB91" s="233">
        <f t="shared" si="37"/>
        <v>0</v>
      </c>
      <c r="AC91" s="233">
        <f t="shared" si="37"/>
        <v>0</v>
      </c>
      <c r="AD91" s="233">
        <f t="shared" si="37"/>
        <v>0</v>
      </c>
      <c r="AE91" s="233">
        <f t="shared" si="37"/>
        <v>0</v>
      </c>
      <c r="AF91" s="233">
        <f t="shared" si="37"/>
        <v>0</v>
      </c>
      <c r="AG91" s="233">
        <f t="shared" si="37"/>
        <v>0</v>
      </c>
      <c r="AH91" s="234">
        <f t="shared" si="37"/>
        <v>0</v>
      </c>
      <c r="AI91" s="235"/>
    </row>
    <row r="92" spans="2:35" x14ac:dyDescent="0.25">
      <c r="B92" s="230" t="s">
        <v>87</v>
      </c>
      <c r="C92" s="231" t="s">
        <v>71</v>
      </c>
      <c r="D92" s="232"/>
      <c r="E92" s="236" t="s">
        <v>80</v>
      </c>
      <c r="F92" s="236" t="s">
        <v>80</v>
      </c>
      <c r="G92" s="236" t="s">
        <v>80</v>
      </c>
      <c r="H92" s="233">
        <f t="shared" ref="H92:AH92" si="38">G91</f>
        <v>0</v>
      </c>
      <c r="I92" s="233">
        <f t="shared" si="38"/>
        <v>0</v>
      </c>
      <c r="J92" s="233">
        <f t="shared" si="38"/>
        <v>0</v>
      </c>
      <c r="K92" s="233">
        <f t="shared" si="38"/>
        <v>0</v>
      </c>
      <c r="L92" s="233">
        <f t="shared" si="38"/>
        <v>0</v>
      </c>
      <c r="M92" s="233">
        <f t="shared" si="38"/>
        <v>0</v>
      </c>
      <c r="N92" s="233">
        <f t="shared" si="38"/>
        <v>0</v>
      </c>
      <c r="O92" s="233">
        <f t="shared" si="38"/>
        <v>0</v>
      </c>
      <c r="P92" s="233">
        <f t="shared" si="38"/>
        <v>0</v>
      </c>
      <c r="Q92" s="233">
        <f t="shared" si="38"/>
        <v>0</v>
      </c>
      <c r="R92" s="233">
        <f t="shared" si="38"/>
        <v>0</v>
      </c>
      <c r="S92" s="233">
        <f t="shared" si="38"/>
        <v>0</v>
      </c>
      <c r="T92" s="233">
        <f t="shared" si="38"/>
        <v>0</v>
      </c>
      <c r="U92" s="233">
        <f t="shared" si="38"/>
        <v>0</v>
      </c>
      <c r="V92" s="233">
        <f t="shared" si="38"/>
        <v>0</v>
      </c>
      <c r="W92" s="233">
        <f t="shared" si="38"/>
        <v>0</v>
      </c>
      <c r="X92" s="233">
        <f t="shared" si="38"/>
        <v>0</v>
      </c>
      <c r="Y92" s="233">
        <f t="shared" si="38"/>
        <v>0</v>
      </c>
      <c r="Z92" s="233">
        <f t="shared" si="38"/>
        <v>0</v>
      </c>
      <c r="AA92" s="233">
        <f t="shared" si="38"/>
        <v>0</v>
      </c>
      <c r="AB92" s="233">
        <f t="shared" si="38"/>
        <v>0</v>
      </c>
      <c r="AC92" s="233">
        <f t="shared" si="38"/>
        <v>0</v>
      </c>
      <c r="AD92" s="233">
        <f t="shared" si="38"/>
        <v>0</v>
      </c>
      <c r="AE92" s="233">
        <f t="shared" si="38"/>
        <v>0</v>
      </c>
      <c r="AF92" s="233">
        <f t="shared" si="38"/>
        <v>0</v>
      </c>
      <c r="AG92" s="233">
        <f t="shared" si="38"/>
        <v>0</v>
      </c>
      <c r="AH92" s="234">
        <f t="shared" si="38"/>
        <v>0</v>
      </c>
      <c r="AI92" s="235"/>
    </row>
    <row r="93" spans="2:35" x14ac:dyDescent="0.25">
      <c r="B93" s="230" t="s">
        <v>83</v>
      </c>
      <c r="C93" s="231" t="s">
        <v>71</v>
      </c>
      <c r="D93" s="232"/>
      <c r="E93" s="236" t="s">
        <v>80</v>
      </c>
      <c r="F93" s="236" t="s">
        <v>80</v>
      </c>
      <c r="G93" s="236" t="s">
        <v>80</v>
      </c>
      <c r="H93" s="233">
        <f>MIN(0,-MIN(H$84,H92))</f>
        <v>0</v>
      </c>
      <c r="I93" s="233">
        <f t="shared" ref="I93:AH93" si="39">MIN(0,-MIN(I96+I$84,I92))</f>
        <v>0</v>
      </c>
      <c r="J93" s="233">
        <f t="shared" si="39"/>
        <v>0</v>
      </c>
      <c r="K93" s="233">
        <f t="shared" si="39"/>
        <v>0</v>
      </c>
      <c r="L93" s="233">
        <f t="shared" si="39"/>
        <v>0</v>
      </c>
      <c r="M93" s="233">
        <f t="shared" si="39"/>
        <v>0</v>
      </c>
      <c r="N93" s="233">
        <f t="shared" si="39"/>
        <v>0</v>
      </c>
      <c r="O93" s="233">
        <f t="shared" si="39"/>
        <v>0</v>
      </c>
      <c r="P93" s="233">
        <f t="shared" si="39"/>
        <v>0</v>
      </c>
      <c r="Q93" s="233">
        <f t="shared" si="39"/>
        <v>0</v>
      </c>
      <c r="R93" s="233">
        <f t="shared" si="39"/>
        <v>0</v>
      </c>
      <c r="S93" s="233">
        <f t="shared" si="39"/>
        <v>0</v>
      </c>
      <c r="T93" s="233">
        <f t="shared" si="39"/>
        <v>0</v>
      </c>
      <c r="U93" s="233">
        <f t="shared" si="39"/>
        <v>0</v>
      </c>
      <c r="V93" s="233">
        <f t="shared" si="39"/>
        <v>0</v>
      </c>
      <c r="W93" s="233">
        <f t="shared" si="39"/>
        <v>0</v>
      </c>
      <c r="X93" s="233">
        <f t="shared" si="39"/>
        <v>0</v>
      </c>
      <c r="Y93" s="233">
        <f t="shared" si="39"/>
        <v>0</v>
      </c>
      <c r="Z93" s="233">
        <f t="shared" si="39"/>
        <v>0</v>
      </c>
      <c r="AA93" s="233">
        <f t="shared" si="39"/>
        <v>0</v>
      </c>
      <c r="AB93" s="233">
        <f t="shared" si="39"/>
        <v>0</v>
      </c>
      <c r="AC93" s="233">
        <f t="shared" si="39"/>
        <v>0</v>
      </c>
      <c r="AD93" s="233">
        <f t="shared" si="39"/>
        <v>0</v>
      </c>
      <c r="AE93" s="233">
        <f t="shared" si="39"/>
        <v>0</v>
      </c>
      <c r="AF93" s="233">
        <f t="shared" si="39"/>
        <v>0</v>
      </c>
      <c r="AG93" s="233">
        <f t="shared" si="39"/>
        <v>0</v>
      </c>
      <c r="AH93" s="233">
        <f t="shared" si="39"/>
        <v>0</v>
      </c>
      <c r="AI93" s="235"/>
    </row>
    <row r="94" spans="2:35" x14ac:dyDescent="0.25">
      <c r="B94" s="230" t="s">
        <v>88</v>
      </c>
      <c r="C94" s="231" t="s">
        <v>71</v>
      </c>
      <c r="D94" s="232"/>
      <c r="E94" s="236" t="s">
        <v>80</v>
      </c>
      <c r="F94" s="236" t="s">
        <v>80</v>
      </c>
      <c r="G94" s="236" t="s">
        <v>80</v>
      </c>
      <c r="H94" s="233">
        <f t="shared" ref="H94:AH94" si="40">H92+H93</f>
        <v>0</v>
      </c>
      <c r="I94" s="233">
        <f t="shared" si="40"/>
        <v>0</v>
      </c>
      <c r="J94" s="233">
        <f t="shared" si="40"/>
        <v>0</v>
      </c>
      <c r="K94" s="233">
        <f t="shared" si="40"/>
        <v>0</v>
      </c>
      <c r="L94" s="233">
        <f t="shared" si="40"/>
        <v>0</v>
      </c>
      <c r="M94" s="233">
        <f t="shared" si="40"/>
        <v>0</v>
      </c>
      <c r="N94" s="233">
        <f t="shared" si="40"/>
        <v>0</v>
      </c>
      <c r="O94" s="233">
        <f t="shared" si="40"/>
        <v>0</v>
      </c>
      <c r="P94" s="233">
        <f t="shared" si="40"/>
        <v>0</v>
      </c>
      <c r="Q94" s="233">
        <f t="shared" si="40"/>
        <v>0</v>
      </c>
      <c r="R94" s="233">
        <f t="shared" si="40"/>
        <v>0</v>
      </c>
      <c r="S94" s="233">
        <f t="shared" si="40"/>
        <v>0</v>
      </c>
      <c r="T94" s="233">
        <f t="shared" si="40"/>
        <v>0</v>
      </c>
      <c r="U94" s="233">
        <f t="shared" si="40"/>
        <v>0</v>
      </c>
      <c r="V94" s="233">
        <f t="shared" si="40"/>
        <v>0</v>
      </c>
      <c r="W94" s="233">
        <f t="shared" si="40"/>
        <v>0</v>
      </c>
      <c r="X94" s="233">
        <f t="shared" si="40"/>
        <v>0</v>
      </c>
      <c r="Y94" s="233">
        <f t="shared" si="40"/>
        <v>0</v>
      </c>
      <c r="Z94" s="233">
        <f t="shared" si="40"/>
        <v>0</v>
      </c>
      <c r="AA94" s="233">
        <f t="shared" si="40"/>
        <v>0</v>
      </c>
      <c r="AB94" s="233">
        <f t="shared" si="40"/>
        <v>0</v>
      </c>
      <c r="AC94" s="233">
        <f t="shared" si="40"/>
        <v>0</v>
      </c>
      <c r="AD94" s="233">
        <f t="shared" si="40"/>
        <v>0</v>
      </c>
      <c r="AE94" s="233">
        <f t="shared" si="40"/>
        <v>0</v>
      </c>
      <c r="AF94" s="233">
        <f t="shared" si="40"/>
        <v>0</v>
      </c>
      <c r="AG94" s="233">
        <f t="shared" si="40"/>
        <v>0</v>
      </c>
      <c r="AH94" s="234">
        <f t="shared" si="40"/>
        <v>0</v>
      </c>
      <c r="AI94" s="235"/>
    </row>
    <row r="95" spans="2:35" x14ac:dyDescent="0.25">
      <c r="B95" s="230" t="s">
        <v>90</v>
      </c>
      <c r="C95" s="231" t="s">
        <v>71</v>
      </c>
      <c r="D95" s="232"/>
      <c r="E95" s="236" t="s">
        <v>80</v>
      </c>
      <c r="F95" s="236" t="s">
        <v>80</v>
      </c>
      <c r="G95" s="236" t="s">
        <v>80</v>
      </c>
      <c r="H95" s="236" t="s">
        <v>80</v>
      </c>
      <c r="I95" s="233">
        <f t="shared" ref="I95:AH95" si="41">H94</f>
        <v>0</v>
      </c>
      <c r="J95" s="233">
        <f t="shared" si="41"/>
        <v>0</v>
      </c>
      <c r="K95" s="233">
        <f t="shared" si="41"/>
        <v>0</v>
      </c>
      <c r="L95" s="233">
        <f t="shared" si="41"/>
        <v>0</v>
      </c>
      <c r="M95" s="233">
        <f t="shared" si="41"/>
        <v>0</v>
      </c>
      <c r="N95" s="233">
        <f t="shared" si="41"/>
        <v>0</v>
      </c>
      <c r="O95" s="233">
        <f t="shared" si="41"/>
        <v>0</v>
      </c>
      <c r="P95" s="233">
        <f t="shared" si="41"/>
        <v>0</v>
      </c>
      <c r="Q95" s="233">
        <f t="shared" si="41"/>
        <v>0</v>
      </c>
      <c r="R95" s="233">
        <f t="shared" si="41"/>
        <v>0</v>
      </c>
      <c r="S95" s="233">
        <f t="shared" si="41"/>
        <v>0</v>
      </c>
      <c r="T95" s="233">
        <f t="shared" si="41"/>
        <v>0</v>
      </c>
      <c r="U95" s="233">
        <f t="shared" si="41"/>
        <v>0</v>
      </c>
      <c r="V95" s="233">
        <f t="shared" si="41"/>
        <v>0</v>
      </c>
      <c r="W95" s="233">
        <f t="shared" si="41"/>
        <v>0</v>
      </c>
      <c r="X95" s="233">
        <f t="shared" si="41"/>
        <v>0</v>
      </c>
      <c r="Y95" s="233">
        <f t="shared" si="41"/>
        <v>0</v>
      </c>
      <c r="Z95" s="233">
        <f t="shared" si="41"/>
        <v>0</v>
      </c>
      <c r="AA95" s="233">
        <f t="shared" si="41"/>
        <v>0</v>
      </c>
      <c r="AB95" s="233">
        <f t="shared" si="41"/>
        <v>0</v>
      </c>
      <c r="AC95" s="233">
        <f t="shared" si="41"/>
        <v>0</v>
      </c>
      <c r="AD95" s="233">
        <f t="shared" si="41"/>
        <v>0</v>
      </c>
      <c r="AE95" s="233">
        <f t="shared" si="41"/>
        <v>0</v>
      </c>
      <c r="AF95" s="233">
        <f t="shared" si="41"/>
        <v>0</v>
      </c>
      <c r="AG95" s="233">
        <f t="shared" si="41"/>
        <v>0</v>
      </c>
      <c r="AH95" s="233">
        <f t="shared" si="41"/>
        <v>0</v>
      </c>
      <c r="AI95" s="235"/>
    </row>
    <row r="96" spans="2:35" x14ac:dyDescent="0.25">
      <c r="B96" s="230" t="s">
        <v>83</v>
      </c>
      <c r="C96" s="231" t="s">
        <v>71</v>
      </c>
      <c r="D96" s="232"/>
      <c r="E96" s="236" t="s">
        <v>80</v>
      </c>
      <c r="F96" s="236" t="s">
        <v>80</v>
      </c>
      <c r="G96" s="236" t="s">
        <v>80</v>
      </c>
      <c r="H96" s="236" t="s">
        <v>80</v>
      </c>
      <c r="I96" s="233">
        <f t="shared" ref="I96:AH96" si="42">MIN(0,-MIN(I$84,I95))</f>
        <v>0</v>
      </c>
      <c r="J96" s="233">
        <f t="shared" si="42"/>
        <v>0</v>
      </c>
      <c r="K96" s="233">
        <f t="shared" si="42"/>
        <v>0</v>
      </c>
      <c r="L96" s="233">
        <f t="shared" si="42"/>
        <v>0</v>
      </c>
      <c r="M96" s="233">
        <f t="shared" si="42"/>
        <v>0</v>
      </c>
      <c r="N96" s="233">
        <f t="shared" si="42"/>
        <v>0</v>
      </c>
      <c r="O96" s="233">
        <f t="shared" si="42"/>
        <v>0</v>
      </c>
      <c r="P96" s="233">
        <f t="shared" si="42"/>
        <v>0</v>
      </c>
      <c r="Q96" s="233">
        <f t="shared" si="42"/>
        <v>0</v>
      </c>
      <c r="R96" s="233">
        <f t="shared" si="42"/>
        <v>0</v>
      </c>
      <c r="S96" s="233">
        <f t="shared" si="42"/>
        <v>0</v>
      </c>
      <c r="T96" s="233">
        <f t="shared" si="42"/>
        <v>0</v>
      </c>
      <c r="U96" s="233">
        <f t="shared" si="42"/>
        <v>0</v>
      </c>
      <c r="V96" s="233">
        <f t="shared" si="42"/>
        <v>0</v>
      </c>
      <c r="W96" s="233">
        <f t="shared" si="42"/>
        <v>0</v>
      </c>
      <c r="X96" s="233">
        <f t="shared" si="42"/>
        <v>0</v>
      </c>
      <c r="Y96" s="233">
        <f t="shared" si="42"/>
        <v>0</v>
      </c>
      <c r="Z96" s="233">
        <f t="shared" si="42"/>
        <v>0</v>
      </c>
      <c r="AA96" s="233">
        <f t="shared" si="42"/>
        <v>0</v>
      </c>
      <c r="AB96" s="233">
        <f t="shared" si="42"/>
        <v>0</v>
      </c>
      <c r="AC96" s="233">
        <f t="shared" si="42"/>
        <v>0</v>
      </c>
      <c r="AD96" s="233">
        <f t="shared" si="42"/>
        <v>0</v>
      </c>
      <c r="AE96" s="233">
        <f t="shared" si="42"/>
        <v>0</v>
      </c>
      <c r="AF96" s="233">
        <f t="shared" si="42"/>
        <v>0</v>
      </c>
      <c r="AG96" s="233">
        <f t="shared" si="42"/>
        <v>0</v>
      </c>
      <c r="AH96" s="233">
        <f t="shared" si="42"/>
        <v>0</v>
      </c>
      <c r="AI96" s="235"/>
    </row>
    <row r="97" spans="1:35" x14ac:dyDescent="0.25">
      <c r="B97" s="230" t="s">
        <v>91</v>
      </c>
      <c r="C97" s="231" t="s">
        <v>71</v>
      </c>
      <c r="D97" s="232"/>
      <c r="E97" s="236" t="s">
        <v>80</v>
      </c>
      <c r="F97" s="236" t="s">
        <v>80</v>
      </c>
      <c r="G97" s="236" t="s">
        <v>80</v>
      </c>
      <c r="H97" s="236" t="s">
        <v>80</v>
      </c>
      <c r="I97" s="233">
        <f t="shared" ref="I97:AH97" si="43">I95+I96</f>
        <v>0</v>
      </c>
      <c r="J97" s="233">
        <f t="shared" si="43"/>
        <v>0</v>
      </c>
      <c r="K97" s="233">
        <f t="shared" si="43"/>
        <v>0</v>
      </c>
      <c r="L97" s="233">
        <f t="shared" si="43"/>
        <v>0</v>
      </c>
      <c r="M97" s="233">
        <f t="shared" si="43"/>
        <v>0</v>
      </c>
      <c r="N97" s="233">
        <f t="shared" si="43"/>
        <v>0</v>
      </c>
      <c r="O97" s="233">
        <f t="shared" si="43"/>
        <v>0</v>
      </c>
      <c r="P97" s="233">
        <f t="shared" si="43"/>
        <v>0</v>
      </c>
      <c r="Q97" s="233">
        <f t="shared" si="43"/>
        <v>0</v>
      </c>
      <c r="R97" s="233">
        <f t="shared" si="43"/>
        <v>0</v>
      </c>
      <c r="S97" s="233">
        <f t="shared" si="43"/>
        <v>0</v>
      </c>
      <c r="T97" s="233">
        <f t="shared" si="43"/>
        <v>0</v>
      </c>
      <c r="U97" s="233">
        <f t="shared" si="43"/>
        <v>0</v>
      </c>
      <c r="V97" s="233">
        <f t="shared" si="43"/>
        <v>0</v>
      </c>
      <c r="W97" s="233">
        <f t="shared" si="43"/>
        <v>0</v>
      </c>
      <c r="X97" s="233">
        <f t="shared" si="43"/>
        <v>0</v>
      </c>
      <c r="Y97" s="233">
        <f t="shared" si="43"/>
        <v>0</v>
      </c>
      <c r="Z97" s="233">
        <f t="shared" si="43"/>
        <v>0</v>
      </c>
      <c r="AA97" s="233">
        <f t="shared" si="43"/>
        <v>0</v>
      </c>
      <c r="AB97" s="233">
        <f t="shared" si="43"/>
        <v>0</v>
      </c>
      <c r="AC97" s="233">
        <f t="shared" si="43"/>
        <v>0</v>
      </c>
      <c r="AD97" s="233">
        <f t="shared" si="43"/>
        <v>0</v>
      </c>
      <c r="AE97" s="233">
        <f t="shared" si="43"/>
        <v>0</v>
      </c>
      <c r="AF97" s="233">
        <f t="shared" si="43"/>
        <v>0</v>
      </c>
      <c r="AG97" s="233">
        <f t="shared" si="43"/>
        <v>0</v>
      </c>
      <c r="AH97" s="234">
        <f t="shared" si="43"/>
        <v>0</v>
      </c>
      <c r="AI97" s="235"/>
    </row>
    <row r="98" spans="1:35" x14ac:dyDescent="0.25">
      <c r="B98" s="230" t="s">
        <v>92</v>
      </c>
      <c r="C98" s="231" t="s">
        <v>71</v>
      </c>
      <c r="D98" s="232"/>
      <c r="E98" s="236" t="s">
        <v>80</v>
      </c>
      <c r="F98" s="236" t="s">
        <v>80</v>
      </c>
      <c r="G98" s="236" t="s">
        <v>80</v>
      </c>
      <c r="H98" s="236" t="s">
        <v>80</v>
      </c>
      <c r="I98" s="236" t="s">
        <v>80</v>
      </c>
      <c r="J98" s="233">
        <f t="shared" ref="J98:AH98" si="44">I97</f>
        <v>0</v>
      </c>
      <c r="K98" s="233">
        <f t="shared" si="44"/>
        <v>0</v>
      </c>
      <c r="L98" s="233">
        <f t="shared" si="44"/>
        <v>0</v>
      </c>
      <c r="M98" s="233">
        <f t="shared" si="44"/>
        <v>0</v>
      </c>
      <c r="N98" s="233">
        <f t="shared" si="44"/>
        <v>0</v>
      </c>
      <c r="O98" s="233">
        <f t="shared" si="44"/>
        <v>0</v>
      </c>
      <c r="P98" s="233">
        <f t="shared" si="44"/>
        <v>0</v>
      </c>
      <c r="Q98" s="233">
        <f t="shared" si="44"/>
        <v>0</v>
      </c>
      <c r="R98" s="233">
        <f t="shared" si="44"/>
        <v>0</v>
      </c>
      <c r="S98" s="233">
        <f t="shared" si="44"/>
        <v>0</v>
      </c>
      <c r="T98" s="233">
        <f t="shared" si="44"/>
        <v>0</v>
      </c>
      <c r="U98" s="233">
        <f t="shared" si="44"/>
        <v>0</v>
      </c>
      <c r="V98" s="233">
        <f t="shared" si="44"/>
        <v>0</v>
      </c>
      <c r="W98" s="233">
        <f t="shared" si="44"/>
        <v>0</v>
      </c>
      <c r="X98" s="233">
        <f t="shared" si="44"/>
        <v>0</v>
      </c>
      <c r="Y98" s="233">
        <f t="shared" si="44"/>
        <v>0</v>
      </c>
      <c r="Z98" s="233">
        <f t="shared" si="44"/>
        <v>0</v>
      </c>
      <c r="AA98" s="233">
        <f t="shared" si="44"/>
        <v>0</v>
      </c>
      <c r="AB98" s="233">
        <f t="shared" si="44"/>
        <v>0</v>
      </c>
      <c r="AC98" s="233">
        <f t="shared" si="44"/>
        <v>0</v>
      </c>
      <c r="AD98" s="233">
        <f t="shared" si="44"/>
        <v>0</v>
      </c>
      <c r="AE98" s="233">
        <f t="shared" si="44"/>
        <v>0</v>
      </c>
      <c r="AF98" s="233">
        <f t="shared" si="44"/>
        <v>0</v>
      </c>
      <c r="AG98" s="233">
        <f t="shared" si="44"/>
        <v>0</v>
      </c>
      <c r="AH98" s="234">
        <f t="shared" si="44"/>
        <v>0</v>
      </c>
      <c r="AI98" s="235"/>
    </row>
    <row r="99" spans="1:35" x14ac:dyDescent="0.25">
      <c r="B99" s="230" t="s">
        <v>83</v>
      </c>
      <c r="C99" s="231" t="s">
        <v>71</v>
      </c>
      <c r="D99" s="232"/>
      <c r="E99" s="236" t="s">
        <v>80</v>
      </c>
      <c r="F99" s="236" t="s">
        <v>80</v>
      </c>
      <c r="G99" s="236" t="s">
        <v>80</v>
      </c>
      <c r="H99" s="236" t="s">
        <v>80</v>
      </c>
      <c r="I99" s="236" t="s">
        <v>80</v>
      </c>
      <c r="J99" s="233">
        <f t="shared" ref="J99:AH99" si="45">MIN(0,-MIN(J98,J84))</f>
        <v>0</v>
      </c>
      <c r="K99" s="233">
        <f t="shared" si="45"/>
        <v>0</v>
      </c>
      <c r="L99" s="233">
        <f t="shared" si="45"/>
        <v>0</v>
      </c>
      <c r="M99" s="233">
        <f t="shared" si="45"/>
        <v>0</v>
      </c>
      <c r="N99" s="233">
        <f t="shared" si="45"/>
        <v>0</v>
      </c>
      <c r="O99" s="233">
        <f t="shared" si="45"/>
        <v>0</v>
      </c>
      <c r="P99" s="233">
        <f t="shared" si="45"/>
        <v>0</v>
      </c>
      <c r="Q99" s="233">
        <f t="shared" si="45"/>
        <v>0</v>
      </c>
      <c r="R99" s="233">
        <f t="shared" si="45"/>
        <v>0</v>
      </c>
      <c r="S99" s="233">
        <f t="shared" si="45"/>
        <v>0</v>
      </c>
      <c r="T99" s="233">
        <f t="shared" si="45"/>
        <v>0</v>
      </c>
      <c r="U99" s="233">
        <f t="shared" si="45"/>
        <v>0</v>
      </c>
      <c r="V99" s="233">
        <f t="shared" si="45"/>
        <v>0</v>
      </c>
      <c r="W99" s="233">
        <f t="shared" si="45"/>
        <v>0</v>
      </c>
      <c r="X99" s="233">
        <f t="shared" si="45"/>
        <v>0</v>
      </c>
      <c r="Y99" s="233">
        <f t="shared" si="45"/>
        <v>0</v>
      </c>
      <c r="Z99" s="233">
        <f t="shared" si="45"/>
        <v>0</v>
      </c>
      <c r="AA99" s="233">
        <f t="shared" si="45"/>
        <v>0</v>
      </c>
      <c r="AB99" s="233">
        <f t="shared" si="45"/>
        <v>0</v>
      </c>
      <c r="AC99" s="233">
        <f t="shared" si="45"/>
        <v>0</v>
      </c>
      <c r="AD99" s="233">
        <f t="shared" si="45"/>
        <v>0</v>
      </c>
      <c r="AE99" s="233">
        <f t="shared" si="45"/>
        <v>0</v>
      </c>
      <c r="AF99" s="233">
        <f t="shared" si="45"/>
        <v>0</v>
      </c>
      <c r="AG99" s="233">
        <f t="shared" si="45"/>
        <v>0</v>
      </c>
      <c r="AH99" s="233">
        <f t="shared" si="45"/>
        <v>0</v>
      </c>
      <c r="AI99" s="235"/>
    </row>
    <row r="100" spans="1:35" x14ac:dyDescent="0.25">
      <c r="B100" s="237" t="s">
        <v>93</v>
      </c>
      <c r="C100" s="238" t="s">
        <v>71</v>
      </c>
      <c r="D100" s="239"/>
      <c r="E100" s="243" t="s">
        <v>99</v>
      </c>
      <c r="F100" s="243" t="s">
        <v>99</v>
      </c>
      <c r="G100" s="243" t="s">
        <v>99</v>
      </c>
      <c r="H100" s="243" t="s">
        <v>99</v>
      </c>
      <c r="I100" s="243" t="s">
        <v>99</v>
      </c>
      <c r="J100" s="240">
        <f t="shared" ref="J100:AH100" si="46">J98+J99</f>
        <v>0</v>
      </c>
      <c r="K100" s="240">
        <f t="shared" si="46"/>
        <v>0</v>
      </c>
      <c r="L100" s="240">
        <f t="shared" si="46"/>
        <v>0</v>
      </c>
      <c r="M100" s="240">
        <f t="shared" si="46"/>
        <v>0</v>
      </c>
      <c r="N100" s="240">
        <f t="shared" si="46"/>
        <v>0</v>
      </c>
      <c r="O100" s="240">
        <f t="shared" si="46"/>
        <v>0</v>
      </c>
      <c r="P100" s="240">
        <f t="shared" si="46"/>
        <v>0</v>
      </c>
      <c r="Q100" s="240">
        <f t="shared" si="46"/>
        <v>0</v>
      </c>
      <c r="R100" s="240">
        <f t="shared" si="46"/>
        <v>0</v>
      </c>
      <c r="S100" s="240">
        <f t="shared" si="46"/>
        <v>0</v>
      </c>
      <c r="T100" s="240">
        <f t="shared" si="46"/>
        <v>0</v>
      </c>
      <c r="U100" s="240">
        <f t="shared" si="46"/>
        <v>0</v>
      </c>
      <c r="V100" s="240">
        <f t="shared" si="46"/>
        <v>0</v>
      </c>
      <c r="W100" s="240">
        <f t="shared" si="46"/>
        <v>0</v>
      </c>
      <c r="X100" s="240">
        <f t="shared" si="46"/>
        <v>0</v>
      </c>
      <c r="Y100" s="240">
        <f t="shared" si="46"/>
        <v>0</v>
      </c>
      <c r="Z100" s="240">
        <f t="shared" si="46"/>
        <v>0</v>
      </c>
      <c r="AA100" s="240">
        <f t="shared" si="46"/>
        <v>0</v>
      </c>
      <c r="AB100" s="240">
        <f t="shared" si="46"/>
        <v>0</v>
      </c>
      <c r="AC100" s="240">
        <f t="shared" si="46"/>
        <v>0</v>
      </c>
      <c r="AD100" s="240">
        <f t="shared" si="46"/>
        <v>0</v>
      </c>
      <c r="AE100" s="240">
        <f t="shared" si="46"/>
        <v>0</v>
      </c>
      <c r="AF100" s="240">
        <f t="shared" si="46"/>
        <v>0</v>
      </c>
      <c r="AG100" s="240">
        <f t="shared" si="46"/>
        <v>0</v>
      </c>
      <c r="AH100" s="241">
        <f t="shared" si="46"/>
        <v>0</v>
      </c>
      <c r="AI100" s="242"/>
    </row>
    <row r="101" spans="1:35" x14ac:dyDescent="0.25">
      <c r="B101" s="230" t="s">
        <v>94</v>
      </c>
      <c r="C101" s="231" t="s">
        <v>71</v>
      </c>
      <c r="D101" s="232"/>
      <c r="E101" s="236">
        <v>0</v>
      </c>
      <c r="F101" s="236">
        <f t="shared" ref="F101:AH101" si="47">E103+F85</f>
        <v>0</v>
      </c>
      <c r="G101" s="236">
        <f t="shared" si="47"/>
        <v>0</v>
      </c>
      <c r="H101" s="236">
        <f t="shared" si="47"/>
        <v>0</v>
      </c>
      <c r="I101" s="236">
        <f t="shared" si="47"/>
        <v>0</v>
      </c>
      <c r="J101" s="233">
        <f t="shared" si="47"/>
        <v>0</v>
      </c>
      <c r="K101" s="233">
        <f t="shared" si="47"/>
        <v>0</v>
      </c>
      <c r="L101" s="233">
        <f t="shared" si="47"/>
        <v>0</v>
      </c>
      <c r="M101" s="233">
        <f t="shared" si="47"/>
        <v>0</v>
      </c>
      <c r="N101" s="233">
        <f t="shared" si="47"/>
        <v>0</v>
      </c>
      <c r="O101" s="233">
        <f t="shared" si="47"/>
        <v>0</v>
      </c>
      <c r="P101" s="233">
        <f t="shared" si="47"/>
        <v>0</v>
      </c>
      <c r="Q101" s="233">
        <f t="shared" si="47"/>
        <v>0</v>
      </c>
      <c r="R101" s="233">
        <f t="shared" si="47"/>
        <v>0</v>
      </c>
      <c r="S101" s="233">
        <f t="shared" si="47"/>
        <v>0</v>
      </c>
      <c r="T101" s="233">
        <f t="shared" si="47"/>
        <v>0</v>
      </c>
      <c r="U101" s="233">
        <f t="shared" si="47"/>
        <v>0</v>
      </c>
      <c r="V101" s="233">
        <f t="shared" si="47"/>
        <v>0</v>
      </c>
      <c r="W101" s="233">
        <f t="shared" si="47"/>
        <v>0</v>
      </c>
      <c r="X101" s="233">
        <f t="shared" si="47"/>
        <v>0</v>
      </c>
      <c r="Y101" s="233">
        <f t="shared" si="47"/>
        <v>0</v>
      </c>
      <c r="Z101" s="233">
        <f t="shared" si="47"/>
        <v>0</v>
      </c>
      <c r="AA101" s="233">
        <f t="shared" si="47"/>
        <v>0</v>
      </c>
      <c r="AB101" s="233">
        <f t="shared" si="47"/>
        <v>0</v>
      </c>
      <c r="AC101" s="233">
        <f t="shared" si="47"/>
        <v>0</v>
      </c>
      <c r="AD101" s="233">
        <f t="shared" si="47"/>
        <v>0</v>
      </c>
      <c r="AE101" s="233">
        <f t="shared" si="47"/>
        <v>0</v>
      </c>
      <c r="AF101" s="233">
        <f t="shared" si="47"/>
        <v>0</v>
      </c>
      <c r="AG101" s="233">
        <f t="shared" si="47"/>
        <v>0</v>
      </c>
      <c r="AH101" s="234">
        <f t="shared" si="47"/>
        <v>0</v>
      </c>
      <c r="AI101" s="235"/>
    </row>
    <row r="102" spans="1:35" x14ac:dyDescent="0.25">
      <c r="B102" s="230" t="s">
        <v>97</v>
      </c>
      <c r="C102" s="231" t="s">
        <v>71</v>
      </c>
      <c r="D102" s="232"/>
      <c r="E102" s="236">
        <v>0</v>
      </c>
      <c r="F102" s="236">
        <f t="shared" ref="F102:AH102" si="48">SUM(F87,F90,F93,F96,F99)</f>
        <v>0</v>
      </c>
      <c r="G102" s="236">
        <f t="shared" si="48"/>
        <v>0</v>
      </c>
      <c r="H102" s="236">
        <f t="shared" si="48"/>
        <v>0</v>
      </c>
      <c r="I102" s="236">
        <f t="shared" si="48"/>
        <v>0</v>
      </c>
      <c r="J102" s="233">
        <f t="shared" si="48"/>
        <v>0</v>
      </c>
      <c r="K102" s="233">
        <f t="shared" si="48"/>
        <v>0</v>
      </c>
      <c r="L102" s="233">
        <f t="shared" si="48"/>
        <v>0</v>
      </c>
      <c r="M102" s="233">
        <f t="shared" si="48"/>
        <v>0</v>
      </c>
      <c r="N102" s="233">
        <f t="shared" si="48"/>
        <v>0</v>
      </c>
      <c r="O102" s="233">
        <f t="shared" si="48"/>
        <v>0</v>
      </c>
      <c r="P102" s="233">
        <f t="shared" si="48"/>
        <v>0</v>
      </c>
      <c r="Q102" s="233">
        <f t="shared" si="48"/>
        <v>0</v>
      </c>
      <c r="R102" s="233">
        <f t="shared" si="48"/>
        <v>0</v>
      </c>
      <c r="S102" s="233">
        <f t="shared" si="48"/>
        <v>0</v>
      </c>
      <c r="T102" s="233">
        <f t="shared" si="48"/>
        <v>0</v>
      </c>
      <c r="U102" s="233">
        <f t="shared" si="48"/>
        <v>0</v>
      </c>
      <c r="V102" s="233">
        <f t="shared" si="48"/>
        <v>0</v>
      </c>
      <c r="W102" s="233">
        <f t="shared" si="48"/>
        <v>0</v>
      </c>
      <c r="X102" s="233">
        <f t="shared" si="48"/>
        <v>0</v>
      </c>
      <c r="Y102" s="233">
        <f t="shared" si="48"/>
        <v>0</v>
      </c>
      <c r="Z102" s="233">
        <f t="shared" si="48"/>
        <v>0</v>
      </c>
      <c r="AA102" s="233">
        <f t="shared" si="48"/>
        <v>0</v>
      </c>
      <c r="AB102" s="233">
        <f t="shared" si="48"/>
        <v>0</v>
      </c>
      <c r="AC102" s="233">
        <f t="shared" si="48"/>
        <v>0</v>
      </c>
      <c r="AD102" s="233">
        <f t="shared" si="48"/>
        <v>0</v>
      </c>
      <c r="AE102" s="233">
        <f t="shared" si="48"/>
        <v>0</v>
      </c>
      <c r="AF102" s="233">
        <f t="shared" si="48"/>
        <v>0</v>
      </c>
      <c r="AG102" s="233">
        <f t="shared" si="48"/>
        <v>0</v>
      </c>
      <c r="AH102" s="234">
        <f t="shared" si="48"/>
        <v>0</v>
      </c>
      <c r="AI102" s="235"/>
    </row>
    <row r="103" spans="1:35" x14ac:dyDescent="0.25">
      <c r="B103" s="230" t="s">
        <v>98</v>
      </c>
      <c r="C103" s="231" t="s">
        <v>71</v>
      </c>
      <c r="D103" s="232"/>
      <c r="E103" s="236">
        <f>E85</f>
        <v>0</v>
      </c>
      <c r="F103" s="236">
        <f t="shared" ref="F103:AH103" si="49">SUM(F101:F102)</f>
        <v>0</v>
      </c>
      <c r="G103" s="236">
        <f t="shared" si="49"/>
        <v>0</v>
      </c>
      <c r="H103" s="236">
        <f t="shared" si="49"/>
        <v>0</v>
      </c>
      <c r="I103" s="236">
        <f t="shared" si="49"/>
        <v>0</v>
      </c>
      <c r="J103" s="233">
        <f t="shared" si="49"/>
        <v>0</v>
      </c>
      <c r="K103" s="233">
        <f t="shared" si="49"/>
        <v>0</v>
      </c>
      <c r="L103" s="233">
        <f t="shared" si="49"/>
        <v>0</v>
      </c>
      <c r="M103" s="233">
        <f t="shared" si="49"/>
        <v>0</v>
      </c>
      <c r="N103" s="233">
        <f t="shared" si="49"/>
        <v>0</v>
      </c>
      <c r="O103" s="233">
        <f t="shared" si="49"/>
        <v>0</v>
      </c>
      <c r="P103" s="233">
        <f t="shared" si="49"/>
        <v>0</v>
      </c>
      <c r="Q103" s="233">
        <f t="shared" si="49"/>
        <v>0</v>
      </c>
      <c r="R103" s="233">
        <f t="shared" si="49"/>
        <v>0</v>
      </c>
      <c r="S103" s="233">
        <f t="shared" si="49"/>
        <v>0</v>
      </c>
      <c r="T103" s="233">
        <f t="shared" si="49"/>
        <v>0</v>
      </c>
      <c r="U103" s="233">
        <f t="shared" si="49"/>
        <v>0</v>
      </c>
      <c r="V103" s="233">
        <f t="shared" si="49"/>
        <v>0</v>
      </c>
      <c r="W103" s="233">
        <f t="shared" si="49"/>
        <v>0</v>
      </c>
      <c r="X103" s="233">
        <f t="shared" si="49"/>
        <v>0</v>
      </c>
      <c r="Y103" s="233">
        <f t="shared" si="49"/>
        <v>0</v>
      </c>
      <c r="Z103" s="233">
        <f t="shared" si="49"/>
        <v>0</v>
      </c>
      <c r="AA103" s="233">
        <f t="shared" si="49"/>
        <v>0</v>
      </c>
      <c r="AB103" s="233">
        <f t="shared" si="49"/>
        <v>0</v>
      </c>
      <c r="AC103" s="233">
        <f t="shared" si="49"/>
        <v>0</v>
      </c>
      <c r="AD103" s="233">
        <f t="shared" si="49"/>
        <v>0</v>
      </c>
      <c r="AE103" s="233">
        <f t="shared" si="49"/>
        <v>0</v>
      </c>
      <c r="AF103" s="233">
        <f t="shared" si="49"/>
        <v>0</v>
      </c>
      <c r="AG103" s="233">
        <f t="shared" si="49"/>
        <v>0</v>
      </c>
      <c r="AH103" s="234">
        <f t="shared" si="49"/>
        <v>0</v>
      </c>
      <c r="AI103" s="235"/>
    </row>
    <row r="104" spans="1:35" ht="13" thickBot="1" x14ac:dyDescent="0.3">
      <c r="B104" s="230" t="s">
        <v>100</v>
      </c>
      <c r="C104" s="231" t="s">
        <v>71</v>
      </c>
      <c r="D104" s="232"/>
      <c r="E104" s="236">
        <f>E84+E102</f>
        <v>36769227.40949899</v>
      </c>
      <c r="F104" s="236">
        <f t="shared" ref="F104:AH104" si="50">F84+F102</f>
        <v>37269227.40949899</v>
      </c>
      <c r="G104" s="236">
        <f t="shared" si="50"/>
        <v>37769227.40949899</v>
      </c>
      <c r="H104" s="236">
        <f t="shared" si="50"/>
        <v>38269227.40949899</v>
      </c>
      <c r="I104" s="236">
        <f t="shared" si="50"/>
        <v>38769227.40949899</v>
      </c>
      <c r="J104" s="236">
        <f>J84+J102</f>
        <v>39269227.40949899</v>
      </c>
      <c r="K104" s="236">
        <f>K84+K102</f>
        <v>39769227.40949899</v>
      </c>
      <c r="L104" s="236">
        <f t="shared" si="50"/>
        <v>40269227.40949899</v>
      </c>
      <c r="M104" s="236">
        <f t="shared" si="50"/>
        <v>40769227.40949899</v>
      </c>
      <c r="N104" s="236">
        <f t="shared" si="50"/>
        <v>41269227.40949899</v>
      </c>
      <c r="O104" s="236">
        <f t="shared" si="50"/>
        <v>41769227.40949899</v>
      </c>
      <c r="P104" s="236">
        <f t="shared" si="50"/>
        <v>42269227.40949899</v>
      </c>
      <c r="Q104" s="236">
        <f t="shared" si="50"/>
        <v>42769227.40949899</v>
      </c>
      <c r="R104" s="236">
        <f t="shared" si="50"/>
        <v>43269227.40949899</v>
      </c>
      <c r="S104" s="236">
        <f t="shared" si="50"/>
        <v>43769227.40949899</v>
      </c>
      <c r="T104" s="236">
        <f t="shared" si="50"/>
        <v>122453716.31119433</v>
      </c>
      <c r="U104" s="236">
        <f t="shared" si="50"/>
        <v>122953716.31119433</v>
      </c>
      <c r="V104" s="236">
        <f t="shared" si="50"/>
        <v>123453716.31119433</v>
      </c>
      <c r="W104" s="236">
        <f t="shared" si="50"/>
        <v>123953716.31119433</v>
      </c>
      <c r="X104" s="236">
        <f t="shared" si="50"/>
        <v>124453716.31119433</v>
      </c>
      <c r="Y104" s="236">
        <f t="shared" si="50"/>
        <v>124953716.31119433</v>
      </c>
      <c r="Z104" s="236">
        <f t="shared" si="50"/>
        <v>124953716.31119433</v>
      </c>
      <c r="AA104" s="236">
        <f t="shared" si="50"/>
        <v>124953716.31119433</v>
      </c>
      <c r="AB104" s="236">
        <f t="shared" si="50"/>
        <v>124953716.31119433</v>
      </c>
      <c r="AC104" s="236">
        <f t="shared" si="50"/>
        <v>124953716.31119433</v>
      </c>
      <c r="AD104" s="236">
        <f t="shared" si="50"/>
        <v>124953716.31119433</v>
      </c>
      <c r="AE104" s="236">
        <f t="shared" si="50"/>
        <v>124953716.31119433</v>
      </c>
      <c r="AF104" s="236">
        <f t="shared" si="50"/>
        <v>124953716.31119433</v>
      </c>
      <c r="AG104" s="236">
        <f t="shared" si="50"/>
        <v>124953716.31119433</v>
      </c>
      <c r="AH104" s="236">
        <f t="shared" si="50"/>
        <v>124953716.31119433</v>
      </c>
      <c r="AI104" s="235"/>
    </row>
    <row r="105" spans="1:35" ht="13" thickBot="1" x14ac:dyDescent="0.3">
      <c r="B105" s="148" t="s">
        <v>63</v>
      </c>
      <c r="C105" s="58" t="s">
        <v>13</v>
      </c>
      <c r="D105" s="149"/>
      <c r="E105" s="150">
        <f>SUM(E81:E83)</f>
        <v>3846802.2941745967</v>
      </c>
      <c r="F105" s="150">
        <f t="shared" ref="F105:AH105" si="51">SUM(F81:F83)</f>
        <v>5435409.1973014511</v>
      </c>
      <c r="G105" s="150">
        <f t="shared" si="51"/>
        <v>7024016.1004283093</v>
      </c>
      <c r="H105" s="150">
        <f t="shared" si="51"/>
        <v>8612623.0035551675</v>
      </c>
      <c r="I105" s="150">
        <f t="shared" si="51"/>
        <v>10201229.906682026</v>
      </c>
      <c r="J105" s="150">
        <f t="shared" si="51"/>
        <v>11789836.809808884</v>
      </c>
      <c r="K105" s="150">
        <f t="shared" si="51"/>
        <v>13378443.712935742</v>
      </c>
      <c r="L105" s="150">
        <f t="shared" si="51"/>
        <v>14967050.6160626</v>
      </c>
      <c r="M105" s="150">
        <f t="shared" si="51"/>
        <v>16555657.519189455</v>
      </c>
      <c r="N105" s="150">
        <f>SUM(N81:N83)</f>
        <v>18144264.422316313</v>
      </c>
      <c r="O105" s="150">
        <f t="shared" si="51"/>
        <v>19732871.325443171</v>
      </c>
      <c r="P105" s="150">
        <f t="shared" si="51"/>
        <v>21321478.228570029</v>
      </c>
      <c r="Q105" s="150">
        <f t="shared" si="51"/>
        <v>22910085.131696887</v>
      </c>
      <c r="R105" s="150">
        <f t="shared" si="51"/>
        <v>24498692.034823745</v>
      </c>
      <c r="S105" s="150">
        <f t="shared" si="51"/>
        <v>26087298.937950604</v>
      </c>
      <c r="T105" s="150">
        <f t="shared" si="51"/>
        <v>82405048.072264194</v>
      </c>
      <c r="U105" s="150">
        <f t="shared" si="51"/>
        <v>82899072.130767316</v>
      </c>
      <c r="V105" s="150">
        <f t="shared" si="51"/>
        <v>83393096.189270437</v>
      </c>
      <c r="W105" s="150">
        <f t="shared" si="51"/>
        <v>83887120.247773558</v>
      </c>
      <c r="X105" s="150">
        <f t="shared" si="51"/>
        <v>84381144.306276709</v>
      </c>
      <c r="Y105" s="150">
        <f t="shared" si="51"/>
        <v>84875168.36477983</v>
      </c>
      <c r="Z105" s="150">
        <f t="shared" si="51"/>
        <v>85019192.423282951</v>
      </c>
      <c r="AA105" s="150">
        <f t="shared" si="51"/>
        <v>85163216.481786072</v>
      </c>
      <c r="AB105" s="150">
        <f t="shared" si="51"/>
        <v>85307240.540289193</v>
      </c>
      <c r="AC105" s="150">
        <f t="shared" si="51"/>
        <v>85451264.598792315</v>
      </c>
      <c r="AD105" s="150">
        <f t="shared" si="51"/>
        <v>85595288.657295436</v>
      </c>
      <c r="AE105" s="150">
        <f t="shared" si="51"/>
        <v>85739312.715798557</v>
      </c>
      <c r="AF105" s="150">
        <f t="shared" si="51"/>
        <v>85883336.774301678</v>
      </c>
      <c r="AG105" s="150">
        <f t="shared" si="51"/>
        <v>86027360.832804799</v>
      </c>
      <c r="AH105" s="151">
        <f t="shared" si="51"/>
        <v>86171384.89130792</v>
      </c>
      <c r="AI105" s="59">
        <f>SUM(E105:AH105)</f>
        <v>1496704006.46773</v>
      </c>
    </row>
    <row r="106" spans="1:35" x14ac:dyDescent="0.25">
      <c r="B106" s="99" t="s">
        <v>53</v>
      </c>
      <c r="C106" s="100" t="s">
        <v>46</v>
      </c>
      <c r="D106" s="55"/>
      <c r="E106" s="137">
        <f t="shared" ref="E106:AH106" si="52">D107</f>
        <v>-1563689778.0339069</v>
      </c>
      <c r="F106" s="137">
        <f t="shared" si="52"/>
        <v>-1559842975.7397323</v>
      </c>
      <c r="G106" s="137">
        <f t="shared" si="52"/>
        <v>-1554407566.5424309</v>
      </c>
      <c r="H106" s="137">
        <f t="shared" si="52"/>
        <v>-1547383550.4420025</v>
      </c>
      <c r="I106" s="137">
        <f t="shared" si="52"/>
        <v>-1538770927.4384475</v>
      </c>
      <c r="J106" s="137">
        <f t="shared" si="52"/>
        <v>-1528569697.5317655</v>
      </c>
      <c r="K106" s="137">
        <f t="shared" si="52"/>
        <v>-1516779860.7219565</v>
      </c>
      <c r="L106" s="137">
        <f t="shared" si="52"/>
        <v>-1503401417.0090208</v>
      </c>
      <c r="M106" s="137">
        <f t="shared" si="52"/>
        <v>-1488434366.3929582</v>
      </c>
      <c r="N106" s="137">
        <f t="shared" si="52"/>
        <v>-1471878708.8737688</v>
      </c>
      <c r="O106" s="137">
        <f t="shared" si="52"/>
        <v>-1453734444.4514525</v>
      </c>
      <c r="P106" s="137">
        <f t="shared" si="52"/>
        <v>-1434001573.1260092</v>
      </c>
      <c r="Q106" s="137">
        <f t="shared" si="52"/>
        <v>-1412680094.8974392</v>
      </c>
      <c r="R106" s="137">
        <f t="shared" si="52"/>
        <v>-1389770009.7657423</v>
      </c>
      <c r="S106" s="137">
        <f t="shared" si="52"/>
        <v>-1365271317.7309186</v>
      </c>
      <c r="T106" s="137">
        <f t="shared" si="52"/>
        <v>-1339184018.792968</v>
      </c>
      <c r="U106" s="137">
        <f t="shared" si="52"/>
        <v>-1256778970.7207038</v>
      </c>
      <c r="V106" s="137">
        <f t="shared" si="52"/>
        <v>-1173879898.5899365</v>
      </c>
      <c r="W106" s="137">
        <f t="shared" si="52"/>
        <v>-1090486802.400666</v>
      </c>
      <c r="X106" s="137">
        <f t="shared" si="52"/>
        <v>-1006599682.1528925</v>
      </c>
      <c r="Y106" s="137">
        <f t="shared" si="52"/>
        <v>-922218537.84661579</v>
      </c>
      <c r="Z106" s="137">
        <f t="shared" si="52"/>
        <v>-837343369.48183596</v>
      </c>
      <c r="AA106" s="137">
        <f t="shared" si="52"/>
        <v>-752324177.05855298</v>
      </c>
      <c r="AB106" s="137">
        <f t="shared" si="52"/>
        <v>-667160960.57676697</v>
      </c>
      <c r="AC106" s="137">
        <f t="shared" si="52"/>
        <v>-581853720.0364778</v>
      </c>
      <c r="AD106" s="137">
        <f t="shared" si="52"/>
        <v>-496402455.43768549</v>
      </c>
      <c r="AE106" s="137">
        <f t="shared" si="52"/>
        <v>-410807166.78039002</v>
      </c>
      <c r="AF106" s="137">
        <f t="shared" si="52"/>
        <v>-325067854.06459147</v>
      </c>
      <c r="AG106" s="137">
        <f t="shared" si="52"/>
        <v>-239184517.29028979</v>
      </c>
      <c r="AH106" s="138">
        <f t="shared" si="52"/>
        <v>-153157156.45748499</v>
      </c>
      <c r="AI106" s="62"/>
    </row>
    <row r="107" spans="1:35" s="70" customFormat="1" ht="13" thickBot="1" x14ac:dyDescent="0.3">
      <c r="B107" s="228" t="s">
        <v>54</v>
      </c>
      <c r="C107" s="245" t="s">
        <v>64</v>
      </c>
      <c r="D107" s="246">
        <f>D118</f>
        <v>-1563689778.0339069</v>
      </c>
      <c r="E107" s="247">
        <f t="shared" ref="E107:AH107" si="53">E105+E106</f>
        <v>-1559842975.7397323</v>
      </c>
      <c r="F107" s="247">
        <f t="shared" si="53"/>
        <v>-1554407566.5424309</v>
      </c>
      <c r="G107" s="247">
        <f>G105+G106</f>
        <v>-1547383550.4420025</v>
      </c>
      <c r="H107" s="247">
        <f t="shared" si="53"/>
        <v>-1538770927.4384475</v>
      </c>
      <c r="I107" s="247">
        <f t="shared" si="53"/>
        <v>-1528569697.5317655</v>
      </c>
      <c r="J107" s="247">
        <f t="shared" si="53"/>
        <v>-1516779860.7219565</v>
      </c>
      <c r="K107" s="247">
        <f t="shared" si="53"/>
        <v>-1503401417.0090208</v>
      </c>
      <c r="L107" s="247">
        <f t="shared" si="53"/>
        <v>-1488434366.3929582</v>
      </c>
      <c r="M107" s="247">
        <f t="shared" si="53"/>
        <v>-1471878708.8737688</v>
      </c>
      <c r="N107" s="247">
        <f t="shared" si="53"/>
        <v>-1453734444.4514525</v>
      </c>
      <c r="O107" s="247">
        <f t="shared" si="53"/>
        <v>-1434001573.1260092</v>
      </c>
      <c r="P107" s="247">
        <f t="shared" si="53"/>
        <v>-1412680094.8974392</v>
      </c>
      <c r="Q107" s="247">
        <f t="shared" si="53"/>
        <v>-1389770009.7657423</v>
      </c>
      <c r="R107" s="247">
        <f t="shared" si="53"/>
        <v>-1365271317.7309186</v>
      </c>
      <c r="S107" s="247">
        <f t="shared" si="53"/>
        <v>-1339184018.792968</v>
      </c>
      <c r="T107" s="247">
        <f t="shared" si="53"/>
        <v>-1256778970.7207038</v>
      </c>
      <c r="U107" s="247">
        <f t="shared" si="53"/>
        <v>-1173879898.5899365</v>
      </c>
      <c r="V107" s="247">
        <f t="shared" si="53"/>
        <v>-1090486802.400666</v>
      </c>
      <c r="W107" s="247">
        <f t="shared" si="53"/>
        <v>-1006599682.1528925</v>
      </c>
      <c r="X107" s="247">
        <f t="shared" si="53"/>
        <v>-922218537.84661579</v>
      </c>
      <c r="Y107" s="247">
        <f t="shared" si="53"/>
        <v>-837343369.48183596</v>
      </c>
      <c r="Z107" s="247">
        <f t="shared" si="53"/>
        <v>-752324177.05855298</v>
      </c>
      <c r="AA107" s="247">
        <f t="shared" si="53"/>
        <v>-667160960.57676697</v>
      </c>
      <c r="AB107" s="247">
        <f t="shared" si="53"/>
        <v>-581853720.0364778</v>
      </c>
      <c r="AC107" s="247">
        <f t="shared" si="53"/>
        <v>-496402455.43768549</v>
      </c>
      <c r="AD107" s="247">
        <f t="shared" si="53"/>
        <v>-410807166.78039002</v>
      </c>
      <c r="AE107" s="247">
        <f t="shared" si="53"/>
        <v>-325067854.06459147</v>
      </c>
      <c r="AF107" s="247">
        <f t="shared" si="53"/>
        <v>-239184517.29028979</v>
      </c>
      <c r="AG107" s="247">
        <f t="shared" si="53"/>
        <v>-153157156.45748499</v>
      </c>
      <c r="AH107" s="248">
        <f t="shared" si="53"/>
        <v>-66985771.56617707</v>
      </c>
      <c r="AI107" s="249">
        <f>SUM(E107:AH107)</f>
        <v>-32084361569.917675</v>
      </c>
    </row>
    <row r="108" spans="1:35" s="70" customFormat="1" x14ac:dyDescent="0.25">
      <c r="B108" s="250"/>
      <c r="C108" s="251"/>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3"/>
    </row>
    <row r="109" spans="1:35" s="258" customFormat="1" ht="14" x14ac:dyDescent="0.2">
      <c r="A109" s="254" t="s">
        <v>103</v>
      </c>
      <c r="B109" s="255"/>
      <c r="C109" s="256"/>
      <c r="D109" s="256"/>
      <c r="E109" s="256"/>
      <c r="F109" s="256"/>
      <c r="G109" s="256"/>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row>
    <row r="110" spans="1:35" s="21" customFormat="1" ht="13" thickBot="1" x14ac:dyDescent="0.3">
      <c r="B110" s="63"/>
      <c r="C110" s="63"/>
      <c r="D110" s="64"/>
      <c r="E110" s="64"/>
      <c r="F110" s="64"/>
      <c r="G110" s="64"/>
      <c r="H110" s="64"/>
      <c r="I110" s="64"/>
      <c r="J110" s="64"/>
      <c r="K110" s="64"/>
      <c r="L110" s="64"/>
      <c r="M110" s="64"/>
      <c r="N110" s="64"/>
      <c r="O110" s="64"/>
      <c r="P110" s="64"/>
      <c r="Q110" s="64"/>
      <c r="R110" s="64"/>
      <c r="S110" s="64"/>
      <c r="T110" s="64"/>
      <c r="U110" s="64"/>
      <c r="V110" s="64"/>
      <c r="W110" s="64"/>
      <c r="X110" s="65"/>
      <c r="Y110" s="65"/>
      <c r="Z110" s="65"/>
      <c r="AA110" s="65"/>
      <c r="AB110" s="65"/>
      <c r="AC110" s="65"/>
      <c r="AD110" s="65"/>
      <c r="AE110" s="65"/>
      <c r="AF110" s="65"/>
      <c r="AG110" s="65"/>
      <c r="AH110" s="65"/>
      <c r="AI110" s="64"/>
    </row>
    <row r="111" spans="1:35" x14ac:dyDescent="0.25">
      <c r="B111" s="152" t="s">
        <v>55</v>
      </c>
      <c r="C111" s="176" t="s">
        <v>46</v>
      </c>
      <c r="D111" s="155"/>
      <c r="E111" s="156">
        <f>SUM(E112:E117)</f>
        <v>101988723.94609295</v>
      </c>
      <c r="F111" s="156">
        <f t="shared" ref="F111:AH111" si="54">SUM(F112:F117)</f>
        <v>103077330.8492198</v>
      </c>
      <c r="G111" s="156">
        <f t="shared" si="54"/>
        <v>104165937.75234666</v>
      </c>
      <c r="H111" s="156">
        <f t="shared" si="54"/>
        <v>105254544.65547352</v>
      </c>
      <c r="I111" s="156">
        <f t="shared" si="54"/>
        <v>106343151.55860038</v>
      </c>
      <c r="J111" s="156">
        <f t="shared" si="54"/>
        <v>107431758.46172723</v>
      </c>
      <c r="K111" s="156">
        <f t="shared" si="54"/>
        <v>108520365.3648541</v>
      </c>
      <c r="L111" s="156">
        <f t="shared" si="54"/>
        <v>109608972.26798095</v>
      </c>
      <c r="M111" s="156">
        <f t="shared" si="54"/>
        <v>110697579.1711078</v>
      </c>
      <c r="N111" s="156">
        <f t="shared" si="54"/>
        <v>111786186.07423466</v>
      </c>
      <c r="O111" s="156">
        <f t="shared" si="54"/>
        <v>112874792.97736153</v>
      </c>
      <c r="P111" s="156">
        <f t="shared" si="54"/>
        <v>113963399.88048838</v>
      </c>
      <c r="Q111" s="156">
        <f t="shared" si="54"/>
        <v>115052006.78361523</v>
      </c>
      <c r="R111" s="156">
        <f t="shared" si="54"/>
        <v>116140613.6867421</v>
      </c>
      <c r="S111" s="156">
        <f t="shared" si="54"/>
        <v>117229220.58986896</v>
      </c>
      <c r="T111" s="156">
        <f t="shared" si="54"/>
        <v>94862480.822487205</v>
      </c>
      <c r="U111" s="156">
        <f t="shared" si="54"/>
        <v>94856504.880990326</v>
      </c>
      <c r="V111" s="156">
        <f t="shared" si="54"/>
        <v>94850528.939493462</v>
      </c>
      <c r="W111" s="156">
        <f t="shared" si="54"/>
        <v>94844552.997996584</v>
      </c>
      <c r="X111" s="156">
        <f t="shared" si="54"/>
        <v>94838577.056499705</v>
      </c>
      <c r="Y111" s="156">
        <f t="shared" si="54"/>
        <v>94832601.115002826</v>
      </c>
      <c r="Z111" s="156">
        <f t="shared" si="54"/>
        <v>94976625.173505947</v>
      </c>
      <c r="AA111" s="156">
        <f t="shared" si="54"/>
        <v>95120649.232009083</v>
      </c>
      <c r="AB111" s="156">
        <f t="shared" si="54"/>
        <v>95264673.290512204</v>
      </c>
      <c r="AC111" s="156">
        <f t="shared" si="54"/>
        <v>95408697.349015325</v>
      </c>
      <c r="AD111" s="156">
        <f t="shared" si="54"/>
        <v>95552721.407518446</v>
      </c>
      <c r="AE111" s="156">
        <f t="shared" si="54"/>
        <v>95696745.466021568</v>
      </c>
      <c r="AF111" s="156">
        <f t="shared" si="54"/>
        <v>95840769.524524689</v>
      </c>
      <c r="AG111" s="156">
        <f t="shared" si="54"/>
        <v>95984793.58302781</v>
      </c>
      <c r="AH111" s="157">
        <f t="shared" si="54"/>
        <v>96128817.641530931</v>
      </c>
      <c r="AI111" s="153"/>
    </row>
    <row r="112" spans="1:35" s="21" customFormat="1" x14ac:dyDescent="0.25">
      <c r="B112" s="190" t="s">
        <v>104</v>
      </c>
      <c r="C112" s="181" t="s">
        <v>37</v>
      </c>
      <c r="D112" s="259"/>
      <c r="E112" s="182">
        <f t="shared" ref="E112:AH112" si="55">E17</f>
        <v>68270664.902343765</v>
      </c>
      <c r="F112" s="182">
        <f t="shared" si="55"/>
        <v>68270664.902343765</v>
      </c>
      <c r="G112" s="182">
        <f t="shared" si="55"/>
        <v>68270664.902343765</v>
      </c>
      <c r="H112" s="182">
        <f t="shared" si="55"/>
        <v>68270664.902343765</v>
      </c>
      <c r="I112" s="182">
        <f t="shared" si="55"/>
        <v>68270664.902343765</v>
      </c>
      <c r="J112" s="182">
        <f t="shared" si="55"/>
        <v>68270664.902343765</v>
      </c>
      <c r="K112" s="182">
        <f t="shared" si="55"/>
        <v>68270664.902343765</v>
      </c>
      <c r="L112" s="182">
        <f t="shared" si="55"/>
        <v>68270664.902343765</v>
      </c>
      <c r="M112" s="182">
        <f t="shared" si="55"/>
        <v>68270664.902343765</v>
      </c>
      <c r="N112" s="182">
        <f t="shared" si="55"/>
        <v>68270664.902343765</v>
      </c>
      <c r="O112" s="182">
        <f t="shared" si="55"/>
        <v>68270664.902343765</v>
      </c>
      <c r="P112" s="182">
        <f t="shared" si="55"/>
        <v>68270664.902343765</v>
      </c>
      <c r="Q112" s="182">
        <f t="shared" si="55"/>
        <v>68270664.902343765</v>
      </c>
      <c r="R112" s="182">
        <f t="shared" si="55"/>
        <v>68270664.902343765</v>
      </c>
      <c r="S112" s="182">
        <f t="shared" si="55"/>
        <v>68270664.902343765</v>
      </c>
      <c r="T112" s="182">
        <f t="shared" si="55"/>
        <v>68270664.902343765</v>
      </c>
      <c r="U112" s="182">
        <f t="shared" si="55"/>
        <v>68270664.902343765</v>
      </c>
      <c r="V112" s="182">
        <f t="shared" si="55"/>
        <v>68270664.902343765</v>
      </c>
      <c r="W112" s="182">
        <f t="shared" si="55"/>
        <v>68270664.902343765</v>
      </c>
      <c r="X112" s="182">
        <f t="shared" si="55"/>
        <v>68270664.902343765</v>
      </c>
      <c r="Y112" s="182">
        <f t="shared" si="55"/>
        <v>68270664.902343765</v>
      </c>
      <c r="Z112" s="182">
        <f t="shared" si="55"/>
        <v>68270664.902343765</v>
      </c>
      <c r="AA112" s="182">
        <f t="shared" si="55"/>
        <v>68270664.902343765</v>
      </c>
      <c r="AB112" s="182">
        <f t="shared" si="55"/>
        <v>68270664.902343765</v>
      </c>
      <c r="AC112" s="182">
        <f t="shared" si="55"/>
        <v>68270664.902343765</v>
      </c>
      <c r="AD112" s="182">
        <f t="shared" si="55"/>
        <v>68270664.902343765</v>
      </c>
      <c r="AE112" s="182">
        <f t="shared" si="55"/>
        <v>68270664.902343765</v>
      </c>
      <c r="AF112" s="182">
        <f t="shared" si="55"/>
        <v>68270664.902343765</v>
      </c>
      <c r="AG112" s="182">
        <f t="shared" si="55"/>
        <v>68270664.902343765</v>
      </c>
      <c r="AH112" s="183">
        <f t="shared" si="55"/>
        <v>68270664.902343765</v>
      </c>
      <c r="AI112" s="260"/>
    </row>
    <row r="113" spans="2:35" s="21" customFormat="1" x14ac:dyDescent="0.25">
      <c r="B113" s="180" t="s">
        <v>105</v>
      </c>
      <c r="C113" s="181" t="s">
        <v>37</v>
      </c>
      <c r="D113" s="259"/>
      <c r="E113" s="182">
        <f>E22</f>
        <v>0</v>
      </c>
      <c r="F113" s="182">
        <f t="shared" ref="F113:AH113" si="56">F22</f>
        <v>0</v>
      </c>
      <c r="G113" s="182">
        <f t="shared" si="56"/>
        <v>0</v>
      </c>
      <c r="H113" s="182">
        <f t="shared" si="56"/>
        <v>0</v>
      </c>
      <c r="I113" s="182">
        <f t="shared" si="56"/>
        <v>0</v>
      </c>
      <c r="J113" s="182">
        <f t="shared" si="56"/>
        <v>0</v>
      </c>
      <c r="K113" s="182">
        <f t="shared" si="56"/>
        <v>0</v>
      </c>
      <c r="L113" s="182">
        <f t="shared" si="56"/>
        <v>0</v>
      </c>
      <c r="M113" s="182">
        <f t="shared" si="56"/>
        <v>0</v>
      </c>
      <c r="N113" s="182">
        <f t="shared" si="56"/>
        <v>0</v>
      </c>
      <c r="O113" s="182">
        <f t="shared" si="56"/>
        <v>0</v>
      </c>
      <c r="P113" s="182">
        <f t="shared" si="56"/>
        <v>0</v>
      </c>
      <c r="Q113" s="182">
        <f t="shared" si="56"/>
        <v>0</v>
      </c>
      <c r="R113" s="182">
        <f t="shared" si="56"/>
        <v>0</v>
      </c>
      <c r="S113" s="182">
        <f t="shared" si="56"/>
        <v>0</v>
      </c>
      <c r="T113" s="182">
        <f t="shared" si="56"/>
        <v>0</v>
      </c>
      <c r="U113" s="182">
        <f t="shared" si="56"/>
        <v>0</v>
      </c>
      <c r="V113" s="182">
        <f t="shared" si="56"/>
        <v>0</v>
      </c>
      <c r="W113" s="182">
        <f t="shared" si="56"/>
        <v>0</v>
      </c>
      <c r="X113" s="182">
        <f t="shared" si="56"/>
        <v>0</v>
      </c>
      <c r="Y113" s="182">
        <f t="shared" si="56"/>
        <v>0</v>
      </c>
      <c r="Z113" s="182">
        <f t="shared" si="56"/>
        <v>0</v>
      </c>
      <c r="AA113" s="182">
        <f t="shared" si="56"/>
        <v>0</v>
      </c>
      <c r="AB113" s="182">
        <f t="shared" si="56"/>
        <v>0</v>
      </c>
      <c r="AC113" s="182">
        <f t="shared" si="56"/>
        <v>0</v>
      </c>
      <c r="AD113" s="182">
        <f t="shared" si="56"/>
        <v>0</v>
      </c>
      <c r="AE113" s="182">
        <f t="shared" si="56"/>
        <v>0</v>
      </c>
      <c r="AF113" s="182">
        <f t="shared" si="56"/>
        <v>0</v>
      </c>
      <c r="AG113" s="182">
        <f t="shared" si="56"/>
        <v>0</v>
      </c>
      <c r="AH113" s="183">
        <f t="shared" si="56"/>
        <v>0</v>
      </c>
      <c r="AI113" s="260"/>
    </row>
    <row r="114" spans="2:35" s="21" customFormat="1" x14ac:dyDescent="0.25">
      <c r="B114" s="180" t="s">
        <v>171</v>
      </c>
      <c r="C114" s="181" t="s">
        <v>37</v>
      </c>
      <c r="D114" s="259"/>
      <c r="E114" s="182">
        <f t="shared" ref="E114:AH114" si="57">SUM(E27,E30,E33)</f>
        <v>0</v>
      </c>
      <c r="F114" s="182">
        <f t="shared" si="57"/>
        <v>0</v>
      </c>
      <c r="G114" s="182">
        <f t="shared" si="57"/>
        <v>0</v>
      </c>
      <c r="H114" s="182">
        <f t="shared" si="57"/>
        <v>0</v>
      </c>
      <c r="I114" s="182">
        <f t="shared" si="57"/>
        <v>0</v>
      </c>
      <c r="J114" s="182">
        <f t="shared" si="57"/>
        <v>0</v>
      </c>
      <c r="K114" s="182">
        <f t="shared" si="57"/>
        <v>0</v>
      </c>
      <c r="L114" s="182">
        <f t="shared" si="57"/>
        <v>0</v>
      </c>
      <c r="M114" s="182">
        <f t="shared" si="57"/>
        <v>0</v>
      </c>
      <c r="N114" s="182">
        <f t="shared" si="57"/>
        <v>0</v>
      </c>
      <c r="O114" s="182">
        <f t="shared" si="57"/>
        <v>0</v>
      </c>
      <c r="P114" s="182">
        <f t="shared" si="57"/>
        <v>0</v>
      </c>
      <c r="Q114" s="182">
        <f t="shared" si="57"/>
        <v>0</v>
      </c>
      <c r="R114" s="182">
        <f t="shared" si="57"/>
        <v>0</v>
      </c>
      <c r="S114" s="182">
        <f t="shared" si="57"/>
        <v>0</v>
      </c>
      <c r="T114" s="182">
        <f t="shared" si="57"/>
        <v>0</v>
      </c>
      <c r="U114" s="182">
        <f t="shared" si="57"/>
        <v>0</v>
      </c>
      <c r="V114" s="182">
        <f t="shared" si="57"/>
        <v>0</v>
      </c>
      <c r="W114" s="182">
        <f t="shared" si="57"/>
        <v>0</v>
      </c>
      <c r="X114" s="182">
        <f t="shared" si="57"/>
        <v>0</v>
      </c>
      <c r="Y114" s="182">
        <f t="shared" si="57"/>
        <v>0</v>
      </c>
      <c r="Z114" s="182">
        <f t="shared" si="57"/>
        <v>0</v>
      </c>
      <c r="AA114" s="182">
        <f t="shared" si="57"/>
        <v>0</v>
      </c>
      <c r="AB114" s="182">
        <f t="shared" si="57"/>
        <v>0</v>
      </c>
      <c r="AC114" s="182">
        <f t="shared" si="57"/>
        <v>0</v>
      </c>
      <c r="AD114" s="182">
        <f t="shared" si="57"/>
        <v>0</v>
      </c>
      <c r="AE114" s="182">
        <f t="shared" si="57"/>
        <v>0</v>
      </c>
      <c r="AF114" s="182">
        <f t="shared" si="57"/>
        <v>0</v>
      </c>
      <c r="AG114" s="182">
        <f t="shared" si="57"/>
        <v>0</v>
      </c>
      <c r="AH114" s="183">
        <f t="shared" si="57"/>
        <v>0</v>
      </c>
      <c r="AI114" s="260"/>
    </row>
    <row r="115" spans="2:35" s="21" customFormat="1" x14ac:dyDescent="0.25">
      <c r="B115" s="180" t="s">
        <v>106</v>
      </c>
      <c r="C115" s="181" t="s">
        <v>37</v>
      </c>
      <c r="D115" s="259"/>
      <c r="E115" s="182">
        <f>-E44</f>
        <v>231000000</v>
      </c>
      <c r="F115" s="182">
        <f t="shared" ref="F115:AH115" si="58">-F44</f>
        <v>231000000</v>
      </c>
      <c r="G115" s="182">
        <f t="shared" si="58"/>
        <v>231000000</v>
      </c>
      <c r="H115" s="182">
        <f t="shared" si="58"/>
        <v>231000000</v>
      </c>
      <c r="I115" s="182">
        <f t="shared" si="58"/>
        <v>231000000</v>
      </c>
      <c r="J115" s="182">
        <f t="shared" si="58"/>
        <v>231000000</v>
      </c>
      <c r="K115" s="182">
        <f t="shared" si="58"/>
        <v>231000000</v>
      </c>
      <c r="L115" s="182">
        <f t="shared" si="58"/>
        <v>231000000</v>
      </c>
      <c r="M115" s="182">
        <f t="shared" si="58"/>
        <v>231000000</v>
      </c>
      <c r="N115" s="182">
        <f t="shared" si="58"/>
        <v>231000000</v>
      </c>
      <c r="O115" s="182">
        <f t="shared" si="58"/>
        <v>231000000</v>
      </c>
      <c r="P115" s="182">
        <f t="shared" si="58"/>
        <v>231000000</v>
      </c>
      <c r="Q115" s="182">
        <f t="shared" si="58"/>
        <v>231000000</v>
      </c>
      <c r="R115" s="182">
        <f t="shared" si="58"/>
        <v>231000000</v>
      </c>
      <c r="S115" s="182">
        <f t="shared" si="58"/>
        <v>231000000</v>
      </c>
      <c r="T115" s="182">
        <f t="shared" si="58"/>
        <v>231000000</v>
      </c>
      <c r="U115" s="182">
        <f t="shared" si="58"/>
        <v>231000000</v>
      </c>
      <c r="V115" s="182">
        <f t="shared" si="58"/>
        <v>231000000</v>
      </c>
      <c r="W115" s="182">
        <f t="shared" si="58"/>
        <v>231000000</v>
      </c>
      <c r="X115" s="182">
        <f t="shared" si="58"/>
        <v>231000000</v>
      </c>
      <c r="Y115" s="182">
        <f t="shared" si="58"/>
        <v>231000000</v>
      </c>
      <c r="Z115" s="182">
        <f t="shared" si="58"/>
        <v>231000000</v>
      </c>
      <c r="AA115" s="182">
        <f t="shared" si="58"/>
        <v>231000000</v>
      </c>
      <c r="AB115" s="182">
        <f t="shared" si="58"/>
        <v>231000000</v>
      </c>
      <c r="AC115" s="182">
        <f t="shared" si="58"/>
        <v>231000000</v>
      </c>
      <c r="AD115" s="182">
        <f t="shared" si="58"/>
        <v>231000000</v>
      </c>
      <c r="AE115" s="182">
        <f t="shared" si="58"/>
        <v>231000000</v>
      </c>
      <c r="AF115" s="182">
        <f t="shared" si="58"/>
        <v>231000000</v>
      </c>
      <c r="AG115" s="182">
        <f t="shared" si="58"/>
        <v>231000000</v>
      </c>
      <c r="AH115" s="183">
        <f t="shared" si="58"/>
        <v>231000000</v>
      </c>
      <c r="AI115" s="260"/>
    </row>
    <row r="116" spans="2:35" s="21" customFormat="1" x14ac:dyDescent="0.25">
      <c r="B116" s="180" t="s">
        <v>107</v>
      </c>
      <c r="C116" s="181" t="s">
        <v>37</v>
      </c>
      <c r="D116" s="259"/>
      <c r="E116" s="182">
        <f t="shared" ref="E116:AH116" si="59">-SUM(E59:E64,E66:E70)</f>
        <v>-164359515.84092641</v>
      </c>
      <c r="F116" s="182">
        <f t="shared" si="59"/>
        <v>-164359515.84092641</v>
      </c>
      <c r="G116" s="182">
        <f t="shared" si="59"/>
        <v>-164359515.84092641</v>
      </c>
      <c r="H116" s="182">
        <f t="shared" si="59"/>
        <v>-164359515.84092641</v>
      </c>
      <c r="I116" s="182">
        <f t="shared" si="59"/>
        <v>-164359515.84092641</v>
      </c>
      <c r="J116" s="182">
        <f t="shared" si="59"/>
        <v>-164359515.84092641</v>
      </c>
      <c r="K116" s="182">
        <f t="shared" si="59"/>
        <v>-164359515.84092641</v>
      </c>
      <c r="L116" s="182">
        <f t="shared" si="59"/>
        <v>-164359515.84092641</v>
      </c>
      <c r="M116" s="182">
        <f t="shared" si="59"/>
        <v>-164359515.84092641</v>
      </c>
      <c r="N116" s="182">
        <f t="shared" si="59"/>
        <v>-164359515.84092641</v>
      </c>
      <c r="O116" s="182">
        <f t="shared" si="59"/>
        <v>-164359515.84092641</v>
      </c>
      <c r="P116" s="182">
        <f t="shared" si="59"/>
        <v>-164359515.84092641</v>
      </c>
      <c r="Q116" s="182">
        <f t="shared" si="59"/>
        <v>-164359515.84092641</v>
      </c>
      <c r="R116" s="182">
        <f t="shared" si="59"/>
        <v>-164359515.84092641</v>
      </c>
      <c r="S116" s="182">
        <f t="shared" si="59"/>
        <v>-164359515.84092641</v>
      </c>
      <c r="T116" s="182">
        <f t="shared" si="59"/>
        <v>-164359515.84092641</v>
      </c>
      <c r="U116" s="182">
        <f t="shared" si="59"/>
        <v>-164359515.84092641</v>
      </c>
      <c r="V116" s="182">
        <f t="shared" si="59"/>
        <v>-164359515.84092641</v>
      </c>
      <c r="W116" s="182">
        <f t="shared" si="59"/>
        <v>-164359515.84092641</v>
      </c>
      <c r="X116" s="182">
        <f t="shared" si="59"/>
        <v>-164359515.84092641</v>
      </c>
      <c r="Y116" s="182">
        <f t="shared" si="59"/>
        <v>-164359515.84092641</v>
      </c>
      <c r="Z116" s="182">
        <f t="shared" si="59"/>
        <v>-164359515.84092641</v>
      </c>
      <c r="AA116" s="182">
        <f t="shared" si="59"/>
        <v>-164359515.84092641</v>
      </c>
      <c r="AB116" s="182">
        <f t="shared" si="59"/>
        <v>-164359515.84092641</v>
      </c>
      <c r="AC116" s="182">
        <f t="shared" si="59"/>
        <v>-164359515.84092641</v>
      </c>
      <c r="AD116" s="182">
        <f t="shared" si="59"/>
        <v>-164359515.84092641</v>
      </c>
      <c r="AE116" s="182">
        <f t="shared" si="59"/>
        <v>-164359515.84092641</v>
      </c>
      <c r="AF116" s="182">
        <f t="shared" si="59"/>
        <v>-164359515.84092641</v>
      </c>
      <c r="AG116" s="182">
        <f t="shared" si="59"/>
        <v>-164359515.84092641</v>
      </c>
      <c r="AH116" s="183">
        <f t="shared" si="59"/>
        <v>-164359515.84092641</v>
      </c>
      <c r="AI116" s="260"/>
    </row>
    <row r="117" spans="2:35" s="21" customFormat="1" x14ac:dyDescent="0.25">
      <c r="B117" s="261" t="s">
        <v>111</v>
      </c>
      <c r="C117" s="266" t="s">
        <v>37</v>
      </c>
      <c r="D117" s="259"/>
      <c r="E117" s="182">
        <f>E82+E83</f>
        <v>-32922425.115324393</v>
      </c>
      <c r="F117" s="182">
        <f t="shared" ref="F117:AH117" si="60">F82+F83</f>
        <v>-31833818.212197538</v>
      </c>
      <c r="G117" s="182">
        <f t="shared" si="60"/>
        <v>-30745211.30907068</v>
      </c>
      <c r="H117" s="182">
        <f t="shared" si="60"/>
        <v>-29656604.405943822</v>
      </c>
      <c r="I117" s="182">
        <f t="shared" si="60"/>
        <v>-28567997.502816964</v>
      </c>
      <c r="J117" s="182">
        <f t="shared" si="60"/>
        <v>-27479390.599690106</v>
      </c>
      <c r="K117" s="182">
        <f t="shared" si="60"/>
        <v>-26390783.696563248</v>
      </c>
      <c r="L117" s="182">
        <f t="shared" si="60"/>
        <v>-25302176.793436389</v>
      </c>
      <c r="M117" s="182">
        <f t="shared" si="60"/>
        <v>-24213569.890309535</v>
      </c>
      <c r="N117" s="182">
        <f>N82+N83</f>
        <v>-23124962.987182677</v>
      </c>
      <c r="O117" s="182">
        <f t="shared" si="60"/>
        <v>-22036356.084055819</v>
      </c>
      <c r="P117" s="182">
        <f t="shared" si="60"/>
        <v>-20947749.18092896</v>
      </c>
      <c r="Q117" s="182">
        <f t="shared" si="60"/>
        <v>-19859142.277802102</v>
      </c>
      <c r="R117" s="182">
        <f t="shared" si="60"/>
        <v>-18770535.374675244</v>
      </c>
      <c r="S117" s="182">
        <f t="shared" si="60"/>
        <v>-17681928.471548386</v>
      </c>
      <c r="T117" s="182">
        <f t="shared" si="60"/>
        <v>-40048668.238930129</v>
      </c>
      <c r="U117" s="182">
        <f t="shared" si="60"/>
        <v>-40054644.180427007</v>
      </c>
      <c r="V117" s="182">
        <f t="shared" si="60"/>
        <v>-40060620.121923879</v>
      </c>
      <c r="W117" s="182">
        <f t="shared" si="60"/>
        <v>-40066596.063420758</v>
      </c>
      <c r="X117" s="182">
        <f t="shared" si="60"/>
        <v>-40072572.004917637</v>
      </c>
      <c r="Y117" s="182">
        <f t="shared" si="60"/>
        <v>-40078547.946414515</v>
      </c>
      <c r="Z117" s="182">
        <f t="shared" si="60"/>
        <v>-39934523.887911394</v>
      </c>
      <c r="AA117" s="182">
        <f t="shared" si="60"/>
        <v>-39790499.829408266</v>
      </c>
      <c r="AB117" s="182">
        <f t="shared" si="60"/>
        <v>-39646475.770905145</v>
      </c>
      <c r="AC117" s="182">
        <f t="shared" si="60"/>
        <v>-39502451.712402023</v>
      </c>
      <c r="AD117" s="182">
        <f t="shared" si="60"/>
        <v>-39358427.653898895</v>
      </c>
      <c r="AE117" s="182">
        <f t="shared" si="60"/>
        <v>-39214403.595395774</v>
      </c>
      <c r="AF117" s="182">
        <f t="shared" si="60"/>
        <v>-39070379.536892653</v>
      </c>
      <c r="AG117" s="182">
        <f t="shared" si="60"/>
        <v>-38926355.478389531</v>
      </c>
      <c r="AH117" s="183">
        <f t="shared" si="60"/>
        <v>-38782331.41988641</v>
      </c>
      <c r="AI117" s="260"/>
    </row>
    <row r="118" spans="2:35" x14ac:dyDescent="0.25">
      <c r="B118" s="170" t="s">
        <v>56</v>
      </c>
      <c r="C118" s="177" t="s">
        <v>46</v>
      </c>
      <c r="D118" s="171">
        <f>-SUM(D165,D168,D171,D174,D177,D180,D183)</f>
        <v>-1563689778.0339069</v>
      </c>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3"/>
      <c r="AI118" s="174"/>
    </row>
    <row r="119" spans="2:35" x14ac:dyDescent="0.25">
      <c r="B119" s="166" t="s">
        <v>57</v>
      </c>
      <c r="C119" s="178" t="s">
        <v>46</v>
      </c>
      <c r="D119" s="167">
        <f>SUM(D120:D122,D125)</f>
        <v>1000000000</v>
      </c>
      <c r="E119" s="168">
        <f t="shared" ref="E119:AH119" si="61">SUM(E120:E125)</f>
        <v>-60000000</v>
      </c>
      <c r="F119" s="168">
        <f t="shared" si="61"/>
        <v>-59500000</v>
      </c>
      <c r="G119" s="168">
        <f t="shared" si="61"/>
        <v>-59000000</v>
      </c>
      <c r="H119" s="168">
        <f t="shared" si="61"/>
        <v>-58500000</v>
      </c>
      <c r="I119" s="168">
        <f t="shared" si="61"/>
        <v>-58000000</v>
      </c>
      <c r="J119" s="168">
        <f t="shared" si="61"/>
        <v>-57500000</v>
      </c>
      <c r="K119" s="168">
        <f t="shared" si="61"/>
        <v>-57000000</v>
      </c>
      <c r="L119" s="168">
        <f t="shared" si="61"/>
        <v>-56500000</v>
      </c>
      <c r="M119" s="168">
        <f t="shared" si="61"/>
        <v>-56000000</v>
      </c>
      <c r="N119" s="168">
        <f t="shared" si="61"/>
        <v>-55500000</v>
      </c>
      <c r="O119" s="168">
        <f t="shared" si="61"/>
        <v>-55000000</v>
      </c>
      <c r="P119" s="168">
        <f t="shared" si="61"/>
        <v>-54500000</v>
      </c>
      <c r="Q119" s="168">
        <f t="shared" si="61"/>
        <v>-54000000</v>
      </c>
      <c r="R119" s="168">
        <f t="shared" si="61"/>
        <v>-53500000</v>
      </c>
      <c r="S119" s="168">
        <f t="shared" si="61"/>
        <v>-53000000</v>
      </c>
      <c r="T119" s="168">
        <f t="shared" si="61"/>
        <v>-52500000</v>
      </c>
      <c r="U119" s="168">
        <f t="shared" si="61"/>
        <v>-52000000</v>
      </c>
      <c r="V119" s="168">
        <f t="shared" si="61"/>
        <v>-51500000</v>
      </c>
      <c r="W119" s="168">
        <f t="shared" si="61"/>
        <v>-51000000</v>
      </c>
      <c r="X119" s="168">
        <f t="shared" si="61"/>
        <v>-50500000</v>
      </c>
      <c r="Y119" s="168">
        <f t="shared" si="61"/>
        <v>0</v>
      </c>
      <c r="Z119" s="168">
        <f t="shared" si="61"/>
        <v>0</v>
      </c>
      <c r="AA119" s="168">
        <f t="shared" si="61"/>
        <v>0</v>
      </c>
      <c r="AB119" s="168">
        <f t="shared" si="61"/>
        <v>0</v>
      </c>
      <c r="AC119" s="168">
        <f t="shared" si="61"/>
        <v>0</v>
      </c>
      <c r="AD119" s="168">
        <f t="shared" si="61"/>
        <v>0</v>
      </c>
      <c r="AE119" s="168">
        <f t="shared" si="61"/>
        <v>0</v>
      </c>
      <c r="AF119" s="168">
        <f t="shared" si="61"/>
        <v>0</v>
      </c>
      <c r="AG119" s="168">
        <f t="shared" si="61"/>
        <v>0</v>
      </c>
      <c r="AH119" s="169">
        <f t="shared" si="61"/>
        <v>0</v>
      </c>
      <c r="AI119" s="175"/>
    </row>
    <row r="120" spans="2:35" s="21" customFormat="1" x14ac:dyDescent="0.25">
      <c r="B120" s="180" t="s">
        <v>58</v>
      </c>
      <c r="C120" s="181" t="s">
        <v>46</v>
      </c>
      <c r="D120" s="160">
        <f>D135</f>
        <v>0</v>
      </c>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161"/>
      <c r="AI120" s="179"/>
    </row>
    <row r="121" spans="2:35" s="21" customFormat="1" x14ac:dyDescent="0.25">
      <c r="B121" s="180" t="s">
        <v>59</v>
      </c>
      <c r="C121" s="181" t="s">
        <v>46</v>
      </c>
      <c r="D121" s="160">
        <f>SUM(D190,D194,D198)</f>
        <v>1000000000</v>
      </c>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161"/>
      <c r="AI121" s="179"/>
    </row>
    <row r="122" spans="2:35" s="21" customFormat="1" x14ac:dyDescent="0.25">
      <c r="B122" s="180" t="s">
        <v>108</v>
      </c>
      <c r="C122" s="181" t="s">
        <v>37</v>
      </c>
      <c r="D122" s="160"/>
      <c r="E122" s="57">
        <f>E75+E76+SUM(E188,E192,E196)</f>
        <v>-60000000</v>
      </c>
      <c r="F122" s="57">
        <f t="shared" ref="F122:AH122" si="62">F75+F76+SUM(F188,F192,F196)</f>
        <v>-59500000</v>
      </c>
      <c r="G122" s="57">
        <f t="shared" si="62"/>
        <v>-59000000</v>
      </c>
      <c r="H122" s="57">
        <f t="shared" si="62"/>
        <v>-58500000</v>
      </c>
      <c r="I122" s="57">
        <f t="shared" si="62"/>
        <v>-58000000</v>
      </c>
      <c r="J122" s="57">
        <f t="shared" si="62"/>
        <v>-57500000</v>
      </c>
      <c r="K122" s="57">
        <f t="shared" si="62"/>
        <v>-57000000</v>
      </c>
      <c r="L122" s="57">
        <f t="shared" si="62"/>
        <v>-56500000</v>
      </c>
      <c r="M122" s="57">
        <f t="shared" si="62"/>
        <v>-56000000</v>
      </c>
      <c r="N122" s="57">
        <f t="shared" si="62"/>
        <v>-55500000</v>
      </c>
      <c r="O122" s="57">
        <f t="shared" si="62"/>
        <v>-55000000</v>
      </c>
      <c r="P122" s="57">
        <f t="shared" si="62"/>
        <v>-54500000</v>
      </c>
      <c r="Q122" s="57">
        <f t="shared" si="62"/>
        <v>-54000000</v>
      </c>
      <c r="R122" s="57">
        <f t="shared" si="62"/>
        <v>-53500000</v>
      </c>
      <c r="S122" s="57">
        <f t="shared" si="62"/>
        <v>-53000000</v>
      </c>
      <c r="T122" s="57">
        <f t="shared" si="62"/>
        <v>-52500000</v>
      </c>
      <c r="U122" s="57">
        <f t="shared" si="62"/>
        <v>-52000000</v>
      </c>
      <c r="V122" s="57">
        <f t="shared" si="62"/>
        <v>-51500000</v>
      </c>
      <c r="W122" s="57">
        <f t="shared" si="62"/>
        <v>-51000000</v>
      </c>
      <c r="X122" s="57">
        <f t="shared" si="62"/>
        <v>-50500000</v>
      </c>
      <c r="Y122" s="57">
        <f t="shared" si="62"/>
        <v>0</v>
      </c>
      <c r="Z122" s="57">
        <f t="shared" si="62"/>
        <v>0</v>
      </c>
      <c r="AA122" s="57">
        <f t="shared" si="62"/>
        <v>0</v>
      </c>
      <c r="AB122" s="57">
        <f t="shared" si="62"/>
        <v>0</v>
      </c>
      <c r="AC122" s="57">
        <f t="shared" si="62"/>
        <v>0</v>
      </c>
      <c r="AD122" s="57">
        <f t="shared" si="62"/>
        <v>0</v>
      </c>
      <c r="AE122" s="57">
        <f t="shared" si="62"/>
        <v>0</v>
      </c>
      <c r="AF122" s="57">
        <f t="shared" si="62"/>
        <v>0</v>
      </c>
      <c r="AG122" s="57">
        <f t="shared" si="62"/>
        <v>0</v>
      </c>
      <c r="AH122" s="159">
        <f t="shared" si="62"/>
        <v>0</v>
      </c>
      <c r="AI122" s="179"/>
    </row>
    <row r="123" spans="2:35" s="21" customFormat="1" hidden="1" x14ac:dyDescent="0.25">
      <c r="B123" s="261" t="s">
        <v>109</v>
      </c>
      <c r="C123" s="266" t="s">
        <v>37</v>
      </c>
      <c r="D123" s="160"/>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3"/>
      <c r="AI123" s="260"/>
    </row>
    <row r="124" spans="2:35" s="21" customFormat="1" ht="13" thickBot="1" x14ac:dyDescent="0.3">
      <c r="B124" s="261" t="s">
        <v>110</v>
      </c>
      <c r="C124" s="266" t="s">
        <v>37</v>
      </c>
      <c r="D124" s="160"/>
      <c r="E124" s="182">
        <f t="shared" ref="E124:AH124" si="63">E78</f>
        <v>0</v>
      </c>
      <c r="F124" s="182">
        <f t="shared" si="63"/>
        <v>0</v>
      </c>
      <c r="G124" s="182">
        <f t="shared" si="63"/>
        <v>0</v>
      </c>
      <c r="H124" s="182">
        <f t="shared" si="63"/>
        <v>0</v>
      </c>
      <c r="I124" s="182">
        <f t="shared" si="63"/>
        <v>0</v>
      </c>
      <c r="J124" s="182">
        <f t="shared" si="63"/>
        <v>0</v>
      </c>
      <c r="K124" s="182">
        <f t="shared" si="63"/>
        <v>0</v>
      </c>
      <c r="L124" s="182">
        <f t="shared" si="63"/>
        <v>0</v>
      </c>
      <c r="M124" s="182">
        <f t="shared" si="63"/>
        <v>0</v>
      </c>
      <c r="N124" s="182">
        <f t="shared" si="63"/>
        <v>0</v>
      </c>
      <c r="O124" s="182">
        <f t="shared" si="63"/>
        <v>0</v>
      </c>
      <c r="P124" s="182">
        <f t="shared" si="63"/>
        <v>0</v>
      </c>
      <c r="Q124" s="182">
        <f t="shared" si="63"/>
        <v>0</v>
      </c>
      <c r="R124" s="182">
        <f t="shared" si="63"/>
        <v>0</v>
      </c>
      <c r="S124" s="182">
        <f t="shared" si="63"/>
        <v>0</v>
      </c>
      <c r="T124" s="182">
        <f t="shared" si="63"/>
        <v>0</v>
      </c>
      <c r="U124" s="182">
        <f t="shared" si="63"/>
        <v>0</v>
      </c>
      <c r="V124" s="182">
        <f t="shared" si="63"/>
        <v>0</v>
      </c>
      <c r="W124" s="182">
        <f t="shared" si="63"/>
        <v>0</v>
      </c>
      <c r="X124" s="182">
        <f t="shared" si="63"/>
        <v>0</v>
      </c>
      <c r="Y124" s="182">
        <f t="shared" si="63"/>
        <v>0</v>
      </c>
      <c r="Z124" s="182">
        <f t="shared" si="63"/>
        <v>0</v>
      </c>
      <c r="AA124" s="182">
        <f t="shared" si="63"/>
        <v>0</v>
      </c>
      <c r="AB124" s="182">
        <f t="shared" si="63"/>
        <v>0</v>
      </c>
      <c r="AC124" s="182">
        <f t="shared" si="63"/>
        <v>0</v>
      </c>
      <c r="AD124" s="182">
        <f t="shared" si="63"/>
        <v>0</v>
      </c>
      <c r="AE124" s="182">
        <f t="shared" si="63"/>
        <v>0</v>
      </c>
      <c r="AF124" s="182">
        <f t="shared" si="63"/>
        <v>0</v>
      </c>
      <c r="AG124" s="182">
        <f t="shared" si="63"/>
        <v>0</v>
      </c>
      <c r="AH124" s="183">
        <f t="shared" si="63"/>
        <v>0</v>
      </c>
      <c r="AI124" s="260"/>
    </row>
    <row r="125" spans="2:35" ht="13" hidden="1" thickBot="1" x14ac:dyDescent="0.3">
      <c r="B125" s="184" t="s">
        <v>60</v>
      </c>
      <c r="C125" s="100" t="s">
        <v>37</v>
      </c>
      <c r="D125" s="160"/>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3"/>
      <c r="AI125" s="126"/>
    </row>
    <row r="126" spans="2:35" ht="13" thickBot="1" x14ac:dyDescent="0.3">
      <c r="B126" s="148" t="s">
        <v>61</v>
      </c>
      <c r="C126" s="58" t="s">
        <v>13</v>
      </c>
      <c r="D126" s="149">
        <f t="shared" ref="D126:AH126" si="64">SUM(D111,D118:D119)</f>
        <v>-563689778.03390694</v>
      </c>
      <c r="E126" s="150">
        <f>SUM(E111,E118:E119)</f>
        <v>41988723.946092948</v>
      </c>
      <c r="F126" s="150">
        <f t="shared" si="64"/>
        <v>43577330.849219799</v>
      </c>
      <c r="G126" s="150">
        <f t="shared" si="64"/>
        <v>45165937.752346665</v>
      </c>
      <c r="H126" s="150">
        <f t="shared" si="64"/>
        <v>46754544.655473515</v>
      </c>
      <c r="I126" s="150">
        <f t="shared" si="64"/>
        <v>48343151.558600381</v>
      </c>
      <c r="J126" s="150">
        <f t="shared" si="64"/>
        <v>49931758.461727232</v>
      </c>
      <c r="K126" s="150">
        <f t="shared" si="64"/>
        <v>51520365.364854097</v>
      </c>
      <c r="L126" s="150">
        <f t="shared" si="64"/>
        <v>53108972.267980948</v>
      </c>
      <c r="M126" s="150">
        <f t="shared" si="64"/>
        <v>54697579.171107799</v>
      </c>
      <c r="N126" s="150">
        <f t="shared" si="64"/>
        <v>56286186.074234664</v>
      </c>
      <c r="O126" s="150">
        <f t="shared" si="64"/>
        <v>57874792.97736153</v>
      </c>
      <c r="P126" s="150">
        <f t="shared" si="64"/>
        <v>59463399.880488381</v>
      </c>
      <c r="Q126" s="150">
        <f t="shared" si="64"/>
        <v>61052006.783615232</v>
      </c>
      <c r="R126" s="150">
        <f t="shared" si="64"/>
        <v>62640613.686742097</v>
      </c>
      <c r="S126" s="150">
        <f t="shared" si="64"/>
        <v>64229220.589868963</v>
      </c>
      <c r="T126" s="150">
        <f t="shared" si="64"/>
        <v>42362480.822487205</v>
      </c>
      <c r="U126" s="150">
        <f t="shared" si="64"/>
        <v>42856504.880990326</v>
      </c>
      <c r="V126" s="150">
        <f t="shared" si="64"/>
        <v>43350528.939493462</v>
      </c>
      <c r="W126" s="150">
        <f t="shared" si="64"/>
        <v>43844552.997996584</v>
      </c>
      <c r="X126" s="150">
        <f t="shared" si="64"/>
        <v>44338577.056499705</v>
      </c>
      <c r="Y126" s="150">
        <f t="shared" si="64"/>
        <v>94832601.115002826</v>
      </c>
      <c r="Z126" s="150">
        <f t="shared" si="64"/>
        <v>94976625.173505947</v>
      </c>
      <c r="AA126" s="150">
        <f t="shared" si="64"/>
        <v>95120649.232009083</v>
      </c>
      <c r="AB126" s="150">
        <f t="shared" si="64"/>
        <v>95264673.290512204</v>
      </c>
      <c r="AC126" s="150">
        <f t="shared" si="64"/>
        <v>95408697.349015325</v>
      </c>
      <c r="AD126" s="150">
        <f t="shared" si="64"/>
        <v>95552721.407518446</v>
      </c>
      <c r="AE126" s="150">
        <f t="shared" si="64"/>
        <v>95696745.466021568</v>
      </c>
      <c r="AF126" s="150">
        <f t="shared" si="64"/>
        <v>95840769.524524689</v>
      </c>
      <c r="AG126" s="150">
        <f t="shared" si="64"/>
        <v>95984793.58302781</v>
      </c>
      <c r="AH126" s="151">
        <f t="shared" si="64"/>
        <v>96128817.641530931</v>
      </c>
      <c r="AI126" s="59">
        <f>SUM(E126:AH126)</f>
        <v>1968194322.4998503</v>
      </c>
    </row>
    <row r="127" spans="2:35" s="267" customFormat="1" x14ac:dyDescent="0.25">
      <c r="B127" s="261" t="s">
        <v>112</v>
      </c>
      <c r="C127" s="266" t="s">
        <v>37</v>
      </c>
      <c r="D127" s="268"/>
      <c r="E127" s="269">
        <f>D128</f>
        <v>-563689778.03390694</v>
      </c>
      <c r="F127" s="269">
        <f t="shared" ref="F127:AH127" si="65">E128</f>
        <v>-521701054.08781397</v>
      </c>
      <c r="G127" s="269">
        <f t="shared" si="65"/>
        <v>-478123723.23859417</v>
      </c>
      <c r="H127" s="269">
        <f t="shared" si="65"/>
        <v>-432957785.48624754</v>
      </c>
      <c r="I127" s="269">
        <f t="shared" si="65"/>
        <v>-386203240.83077401</v>
      </c>
      <c r="J127" s="269">
        <f t="shared" si="65"/>
        <v>-337860089.27217364</v>
      </c>
      <c r="K127" s="269">
        <f t="shared" si="65"/>
        <v>-287928330.81044638</v>
      </c>
      <c r="L127" s="269">
        <f t="shared" si="65"/>
        <v>-236407965.44559228</v>
      </c>
      <c r="M127" s="269">
        <f t="shared" si="65"/>
        <v>-183298993.17761135</v>
      </c>
      <c r="N127" s="269">
        <f t="shared" si="65"/>
        <v>-128601414.00650355</v>
      </c>
      <c r="O127" s="269">
        <f t="shared" si="65"/>
        <v>-72315227.932268888</v>
      </c>
      <c r="P127" s="269">
        <f t="shared" si="65"/>
        <v>-14440434.954907358</v>
      </c>
      <c r="Q127" s="269">
        <f t="shared" si="65"/>
        <v>45022964.925581023</v>
      </c>
      <c r="R127" s="269">
        <f t="shared" si="65"/>
        <v>106074971.70919625</v>
      </c>
      <c r="S127" s="269">
        <f t="shared" si="65"/>
        <v>168715585.39593834</v>
      </c>
      <c r="T127" s="269">
        <f t="shared" si="65"/>
        <v>232944805.9858073</v>
      </c>
      <c r="U127" s="269">
        <f t="shared" si="65"/>
        <v>275307286.80829453</v>
      </c>
      <c r="V127" s="269">
        <f t="shared" si="65"/>
        <v>318163791.68928486</v>
      </c>
      <c r="W127" s="269">
        <f t="shared" si="65"/>
        <v>361514320.62877834</v>
      </c>
      <c r="X127" s="269">
        <f t="shared" si="65"/>
        <v>405358873.62677491</v>
      </c>
      <c r="Y127" s="269">
        <f t="shared" si="65"/>
        <v>449697450.68327463</v>
      </c>
      <c r="Z127" s="269">
        <f t="shared" si="65"/>
        <v>544530051.7982775</v>
      </c>
      <c r="AA127" s="269">
        <f t="shared" si="65"/>
        <v>639506676.9717834</v>
      </c>
      <c r="AB127" s="269">
        <f t="shared" si="65"/>
        <v>734627326.20379245</v>
      </c>
      <c r="AC127" s="269">
        <f t="shared" si="65"/>
        <v>829891999.49430466</v>
      </c>
      <c r="AD127" s="269">
        <f t="shared" si="65"/>
        <v>925300696.84332001</v>
      </c>
      <c r="AE127" s="269">
        <f t="shared" si="65"/>
        <v>1020853418.2508385</v>
      </c>
      <c r="AF127" s="269">
        <f t="shared" si="65"/>
        <v>1116550163.7168601</v>
      </c>
      <c r="AG127" s="269">
        <f t="shared" si="65"/>
        <v>1212390933.2413847</v>
      </c>
      <c r="AH127" s="270">
        <f t="shared" si="65"/>
        <v>1308375726.8244126</v>
      </c>
      <c r="AI127" s="271"/>
    </row>
    <row r="128" spans="2:35" s="267" customFormat="1" x14ac:dyDescent="0.25">
      <c r="B128" s="261" t="s">
        <v>113</v>
      </c>
      <c r="C128" s="266" t="s">
        <v>37</v>
      </c>
      <c r="D128" s="268">
        <f>D126</f>
        <v>-563689778.03390694</v>
      </c>
      <c r="E128" s="269">
        <f>E127+E126</f>
        <v>-521701054.08781397</v>
      </c>
      <c r="F128" s="269">
        <f t="shared" ref="F128:AH128" si="66">F127+F126</f>
        <v>-478123723.23859417</v>
      </c>
      <c r="G128" s="269">
        <f t="shared" si="66"/>
        <v>-432957785.48624754</v>
      </c>
      <c r="H128" s="269">
        <f t="shared" si="66"/>
        <v>-386203240.83077401</v>
      </c>
      <c r="I128" s="269">
        <f t="shared" si="66"/>
        <v>-337860089.27217364</v>
      </c>
      <c r="J128" s="269">
        <f t="shared" si="66"/>
        <v>-287928330.81044638</v>
      </c>
      <c r="K128" s="269">
        <f t="shared" si="66"/>
        <v>-236407965.44559228</v>
      </c>
      <c r="L128" s="269">
        <f t="shared" si="66"/>
        <v>-183298993.17761135</v>
      </c>
      <c r="M128" s="269">
        <f t="shared" si="66"/>
        <v>-128601414.00650355</v>
      </c>
      <c r="N128" s="269">
        <f t="shared" si="66"/>
        <v>-72315227.932268888</v>
      </c>
      <c r="O128" s="269">
        <f t="shared" si="66"/>
        <v>-14440434.954907358</v>
      </c>
      <c r="P128" s="269">
        <f t="shared" si="66"/>
        <v>45022964.925581023</v>
      </c>
      <c r="Q128" s="269">
        <f t="shared" si="66"/>
        <v>106074971.70919625</v>
      </c>
      <c r="R128" s="269">
        <f t="shared" si="66"/>
        <v>168715585.39593834</v>
      </c>
      <c r="S128" s="269">
        <f t="shared" si="66"/>
        <v>232944805.9858073</v>
      </c>
      <c r="T128" s="269">
        <f t="shared" si="66"/>
        <v>275307286.80829453</v>
      </c>
      <c r="U128" s="269">
        <f t="shared" si="66"/>
        <v>318163791.68928486</v>
      </c>
      <c r="V128" s="269">
        <f t="shared" si="66"/>
        <v>361514320.62877834</v>
      </c>
      <c r="W128" s="269">
        <f t="shared" si="66"/>
        <v>405358873.62677491</v>
      </c>
      <c r="X128" s="269">
        <f t="shared" si="66"/>
        <v>449697450.68327463</v>
      </c>
      <c r="Y128" s="269">
        <f t="shared" si="66"/>
        <v>544530051.7982775</v>
      </c>
      <c r="Z128" s="269">
        <f t="shared" si="66"/>
        <v>639506676.9717834</v>
      </c>
      <c r="AA128" s="269">
        <f t="shared" si="66"/>
        <v>734627326.20379245</v>
      </c>
      <c r="AB128" s="269">
        <f t="shared" si="66"/>
        <v>829891999.49430466</v>
      </c>
      <c r="AC128" s="269">
        <f t="shared" si="66"/>
        <v>925300696.84332001</v>
      </c>
      <c r="AD128" s="269">
        <f t="shared" si="66"/>
        <v>1020853418.2508385</v>
      </c>
      <c r="AE128" s="269">
        <f t="shared" si="66"/>
        <v>1116550163.7168601</v>
      </c>
      <c r="AF128" s="269">
        <f t="shared" si="66"/>
        <v>1212390933.2413847</v>
      </c>
      <c r="AG128" s="269">
        <f t="shared" si="66"/>
        <v>1308375726.8244126</v>
      </c>
      <c r="AH128" s="270">
        <f t="shared" si="66"/>
        <v>1404504544.4659436</v>
      </c>
      <c r="AI128" s="271"/>
    </row>
    <row r="129" spans="1:35" hidden="1" x14ac:dyDescent="0.25">
      <c r="B129" s="165" t="s">
        <v>114</v>
      </c>
      <c r="C129" s="36" t="s">
        <v>11</v>
      </c>
      <c r="D129" s="158"/>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159"/>
      <c r="AI129" s="115"/>
    </row>
    <row r="130" spans="1:35" x14ac:dyDescent="0.25">
      <c r="B130" s="229" t="s">
        <v>89</v>
      </c>
      <c r="C130" s="56" t="s">
        <v>11</v>
      </c>
      <c r="D130" s="185"/>
      <c r="E130" s="186">
        <f>SUM(E164,E167,E170,E173,E176,E179,E182)</f>
        <v>-88471921.651918411</v>
      </c>
      <c r="F130" s="186">
        <f t="shared" ref="F130:AH130" si="67">SUM(F164,F167,F170,F173,F176,F179,F182)</f>
        <v>-88471921.651918411</v>
      </c>
      <c r="G130" s="186">
        <f t="shared" si="67"/>
        <v>-88471921.651918411</v>
      </c>
      <c r="H130" s="186">
        <f t="shared" si="67"/>
        <v>-88471921.651918411</v>
      </c>
      <c r="I130" s="186">
        <f t="shared" si="67"/>
        <v>-88471921.651918411</v>
      </c>
      <c r="J130" s="186">
        <f t="shared" si="67"/>
        <v>-88471921.651918411</v>
      </c>
      <c r="K130" s="186">
        <f t="shared" si="67"/>
        <v>-88471921.651918411</v>
      </c>
      <c r="L130" s="186">
        <f t="shared" si="67"/>
        <v>-88471921.651918411</v>
      </c>
      <c r="M130" s="186">
        <f t="shared" si="67"/>
        <v>-88471921.651918411</v>
      </c>
      <c r="N130" s="186">
        <f t="shared" si="67"/>
        <v>-88471921.651918411</v>
      </c>
      <c r="O130" s="186">
        <f t="shared" si="67"/>
        <v>-88471921.651918411</v>
      </c>
      <c r="P130" s="186">
        <f t="shared" si="67"/>
        <v>-88471921.651918411</v>
      </c>
      <c r="Q130" s="186">
        <f t="shared" si="67"/>
        <v>-88471921.651918411</v>
      </c>
      <c r="R130" s="186">
        <f t="shared" si="67"/>
        <v>-88471921.651918411</v>
      </c>
      <c r="S130" s="186">
        <f t="shared" si="67"/>
        <v>-88471921.651918411</v>
      </c>
      <c r="T130" s="186">
        <f t="shared" si="67"/>
        <v>-10287432.75022307</v>
      </c>
      <c r="U130" s="186">
        <f t="shared" si="67"/>
        <v>-10287432.75022307</v>
      </c>
      <c r="V130" s="186">
        <f t="shared" si="67"/>
        <v>-10287432.75022307</v>
      </c>
      <c r="W130" s="186">
        <f t="shared" si="67"/>
        <v>-10287432.75022307</v>
      </c>
      <c r="X130" s="186">
        <f t="shared" si="67"/>
        <v>-10287432.75022307</v>
      </c>
      <c r="Y130" s="186">
        <f t="shared" si="67"/>
        <v>-10287432.75022307</v>
      </c>
      <c r="Z130" s="186">
        <f t="shared" si="67"/>
        <v>-10287432.75022307</v>
      </c>
      <c r="AA130" s="186">
        <f t="shared" si="67"/>
        <v>-10287432.75022307</v>
      </c>
      <c r="AB130" s="186">
        <f t="shared" si="67"/>
        <v>-10287432.75022307</v>
      </c>
      <c r="AC130" s="186">
        <f t="shared" si="67"/>
        <v>-10287432.75022307</v>
      </c>
      <c r="AD130" s="186">
        <f t="shared" si="67"/>
        <v>-10287432.75022307</v>
      </c>
      <c r="AE130" s="186">
        <f t="shared" si="67"/>
        <v>-10287432.75022307</v>
      </c>
      <c r="AF130" s="186">
        <f t="shared" si="67"/>
        <v>-10287432.75022307</v>
      </c>
      <c r="AG130" s="186">
        <f t="shared" si="67"/>
        <v>-10287432.75022307</v>
      </c>
      <c r="AH130" s="187">
        <f t="shared" si="67"/>
        <v>-10287432.75022307</v>
      </c>
      <c r="AI130" s="188">
        <f>SUM(E130:AH130)</f>
        <v>-1481390316.0321236</v>
      </c>
    </row>
    <row r="131" spans="1:35" ht="13" thickBot="1" x14ac:dyDescent="0.3">
      <c r="B131" s="228" t="s">
        <v>81</v>
      </c>
      <c r="C131" s="68" t="s">
        <v>11</v>
      </c>
      <c r="D131" s="162">
        <f>SUM(D165,D168,D171,D174,D177,D180,D183)</f>
        <v>1563689778.0339069</v>
      </c>
      <c r="E131" s="163">
        <f>SUM(E165,E168,E171,E174,E177,E180,E183)</f>
        <v>1475217856.3819885</v>
      </c>
      <c r="F131" s="163">
        <f t="shared" ref="F131:AH131" si="68">SUM(F165,F168,F171,F174,F177,F180,F183)</f>
        <v>1386745934.7300701</v>
      </c>
      <c r="G131" s="163">
        <f t="shared" si="68"/>
        <v>1298274013.0781517</v>
      </c>
      <c r="H131" s="163">
        <f t="shared" si="68"/>
        <v>1209802091.4262333</v>
      </c>
      <c r="I131" s="163">
        <f t="shared" si="68"/>
        <v>1121330169.7743149</v>
      </c>
      <c r="J131" s="163">
        <f t="shared" si="68"/>
        <v>1032858248.1223965</v>
      </c>
      <c r="K131" s="163">
        <f t="shared" si="68"/>
        <v>944386326.47047806</v>
      </c>
      <c r="L131" s="163">
        <f t="shared" si="68"/>
        <v>855914404.81855965</v>
      </c>
      <c r="M131" s="163">
        <f t="shared" si="68"/>
        <v>767442483.16664124</v>
      </c>
      <c r="N131" s="163">
        <f t="shared" si="68"/>
        <v>678970561.51472282</v>
      </c>
      <c r="O131" s="163">
        <f t="shared" si="68"/>
        <v>590498639.86280441</v>
      </c>
      <c r="P131" s="163">
        <f t="shared" si="68"/>
        <v>502026718.210886</v>
      </c>
      <c r="Q131" s="163">
        <f t="shared" si="68"/>
        <v>413554796.55896759</v>
      </c>
      <c r="R131" s="163">
        <f t="shared" si="68"/>
        <v>325082874.90704918</v>
      </c>
      <c r="S131" s="163">
        <f t="shared" si="68"/>
        <v>236610953.25513077</v>
      </c>
      <c r="T131" s="163">
        <f t="shared" si="68"/>
        <v>226323520.5049077</v>
      </c>
      <c r="U131" s="163">
        <f t="shared" si="68"/>
        <v>216036087.75468463</v>
      </c>
      <c r="V131" s="163">
        <f t="shared" si="68"/>
        <v>205748655.00446156</v>
      </c>
      <c r="W131" s="163">
        <f t="shared" si="68"/>
        <v>195461222.25423849</v>
      </c>
      <c r="X131" s="163">
        <f t="shared" si="68"/>
        <v>185173789.50401542</v>
      </c>
      <c r="Y131" s="163">
        <f t="shared" si="68"/>
        <v>174886356.75379235</v>
      </c>
      <c r="Z131" s="163">
        <f t="shared" si="68"/>
        <v>164598924.00356928</v>
      </c>
      <c r="AA131" s="163">
        <f t="shared" si="68"/>
        <v>154311491.2533462</v>
      </c>
      <c r="AB131" s="163">
        <f t="shared" si="68"/>
        <v>144024058.50312313</v>
      </c>
      <c r="AC131" s="163">
        <f t="shared" si="68"/>
        <v>133736625.75290006</v>
      </c>
      <c r="AD131" s="163">
        <f t="shared" si="68"/>
        <v>123449193.00267699</v>
      </c>
      <c r="AE131" s="163">
        <f t="shared" si="68"/>
        <v>113161760.25245392</v>
      </c>
      <c r="AF131" s="163">
        <f t="shared" si="68"/>
        <v>102874327.50223085</v>
      </c>
      <c r="AG131" s="163">
        <f t="shared" si="68"/>
        <v>92586894.752007782</v>
      </c>
      <c r="AH131" s="164">
        <f t="shared" si="68"/>
        <v>82299462.001784712</v>
      </c>
      <c r="AI131" s="154"/>
    </row>
    <row r="133" spans="1:35" x14ac:dyDescent="0.25">
      <c r="Y133" s="4"/>
    </row>
    <row r="134" spans="1:35" s="70" customFormat="1" x14ac:dyDescent="0.25">
      <c r="A134" s="70" t="s">
        <v>17</v>
      </c>
      <c r="D134" s="71"/>
      <c r="E134" s="71"/>
      <c r="F134" s="71"/>
      <c r="G134" s="71"/>
      <c r="H134" s="71"/>
      <c r="I134" s="71"/>
      <c r="J134" s="71"/>
      <c r="K134" s="71"/>
      <c r="L134" s="71"/>
      <c r="M134" s="71"/>
      <c r="N134" s="71"/>
      <c r="O134" s="71"/>
      <c r="P134" s="71"/>
      <c r="Q134" s="71"/>
      <c r="R134" s="71"/>
      <c r="S134" s="71"/>
      <c r="T134" s="71"/>
      <c r="U134" s="71"/>
      <c r="V134" s="71"/>
      <c r="W134" s="71"/>
      <c r="X134" s="71"/>
    </row>
    <row r="135" spans="1:35" ht="13" thickBot="1" x14ac:dyDescent="0.3">
      <c r="A135" s="70" t="s">
        <v>29</v>
      </c>
      <c r="C135" s="95" t="s">
        <v>68</v>
      </c>
      <c r="D135" s="4">
        <f>インプット!E95</f>
        <v>0</v>
      </c>
    </row>
    <row r="136" spans="1:35" ht="13" thickBot="1" x14ac:dyDescent="0.3">
      <c r="B136" s="79" t="s">
        <v>18</v>
      </c>
      <c r="C136" s="192"/>
      <c r="D136" s="27">
        <v>0</v>
      </c>
      <c r="E136" s="28">
        <v>1</v>
      </c>
      <c r="F136" s="28">
        <v>2</v>
      </c>
      <c r="G136" s="28">
        <v>3</v>
      </c>
      <c r="H136" s="28">
        <v>4</v>
      </c>
      <c r="I136" s="28">
        <v>5</v>
      </c>
      <c r="J136" s="28">
        <v>6</v>
      </c>
      <c r="K136" s="28">
        <v>7</v>
      </c>
      <c r="L136" s="28">
        <v>8</v>
      </c>
      <c r="M136" s="28">
        <v>9</v>
      </c>
      <c r="N136" s="28">
        <v>10</v>
      </c>
      <c r="O136" s="28">
        <v>11</v>
      </c>
      <c r="P136" s="28">
        <v>12</v>
      </c>
      <c r="Q136" s="28">
        <v>13</v>
      </c>
      <c r="R136" s="28">
        <v>14</v>
      </c>
      <c r="S136" s="28">
        <v>15</v>
      </c>
      <c r="T136" s="28">
        <v>16</v>
      </c>
      <c r="U136" s="28">
        <v>17</v>
      </c>
      <c r="V136" s="28">
        <v>18</v>
      </c>
      <c r="W136" s="28">
        <v>19</v>
      </c>
      <c r="X136" s="28">
        <v>20</v>
      </c>
      <c r="Y136" s="27">
        <v>21</v>
      </c>
      <c r="Z136" s="28">
        <v>22</v>
      </c>
      <c r="AA136" s="72">
        <v>23</v>
      </c>
      <c r="AB136" s="28">
        <v>24</v>
      </c>
      <c r="AC136" s="28">
        <v>25</v>
      </c>
      <c r="AD136" s="28">
        <v>26</v>
      </c>
      <c r="AE136" s="27">
        <v>27</v>
      </c>
      <c r="AF136" s="28">
        <v>28</v>
      </c>
      <c r="AG136" s="28">
        <v>29</v>
      </c>
      <c r="AH136" s="192">
        <v>30</v>
      </c>
    </row>
    <row r="137" spans="1:35" x14ac:dyDescent="0.25">
      <c r="B137" s="189" t="s">
        <v>62</v>
      </c>
      <c r="C137" s="181" t="s">
        <v>46</v>
      </c>
      <c r="D137" s="49">
        <f>-SUM(D163:D183)+D135</f>
        <v>-1563689778.0339069</v>
      </c>
      <c r="E137" s="49"/>
      <c r="F137" s="49"/>
      <c r="G137" s="49"/>
      <c r="H137" s="49"/>
      <c r="I137" s="49"/>
      <c r="J137" s="49"/>
      <c r="K137" s="49"/>
      <c r="L137" s="49"/>
      <c r="M137" s="49"/>
      <c r="N137" s="49"/>
      <c r="O137" s="49"/>
      <c r="P137" s="49"/>
      <c r="Q137" s="49"/>
      <c r="R137" s="49"/>
      <c r="S137" s="49"/>
      <c r="T137" s="49"/>
      <c r="U137" s="49"/>
      <c r="V137" s="49"/>
      <c r="W137" s="49"/>
      <c r="X137" s="73"/>
      <c r="Y137" s="49"/>
      <c r="Z137" s="49"/>
      <c r="AA137" s="73"/>
      <c r="AB137" s="49"/>
      <c r="AC137" s="49"/>
      <c r="AD137" s="73"/>
      <c r="AE137" s="49"/>
      <c r="AF137" s="49"/>
      <c r="AG137" s="73"/>
      <c r="AH137" s="627"/>
    </row>
    <row r="138" spans="1:35" x14ac:dyDescent="0.25">
      <c r="B138" s="165" t="s">
        <v>66</v>
      </c>
      <c r="C138" s="266" t="s">
        <v>46</v>
      </c>
      <c r="D138" s="67">
        <f>D42</f>
        <v>0</v>
      </c>
      <c r="E138" s="38">
        <f>E111</f>
        <v>101988723.94609295</v>
      </c>
      <c r="F138" s="38">
        <f t="shared" ref="F138:AH138" si="69">F111</f>
        <v>103077330.8492198</v>
      </c>
      <c r="G138" s="38">
        <f t="shared" si="69"/>
        <v>104165937.75234666</v>
      </c>
      <c r="H138" s="38">
        <f t="shared" si="69"/>
        <v>105254544.65547352</v>
      </c>
      <c r="I138" s="38">
        <f t="shared" si="69"/>
        <v>106343151.55860038</v>
      </c>
      <c r="J138" s="38">
        <f t="shared" si="69"/>
        <v>107431758.46172723</v>
      </c>
      <c r="K138" s="38">
        <f t="shared" si="69"/>
        <v>108520365.3648541</v>
      </c>
      <c r="L138" s="38">
        <f t="shared" si="69"/>
        <v>109608972.26798095</v>
      </c>
      <c r="M138" s="38">
        <f t="shared" si="69"/>
        <v>110697579.1711078</v>
      </c>
      <c r="N138" s="38">
        <f t="shared" si="69"/>
        <v>111786186.07423466</v>
      </c>
      <c r="O138" s="38">
        <f t="shared" si="69"/>
        <v>112874792.97736153</v>
      </c>
      <c r="P138" s="38">
        <f t="shared" si="69"/>
        <v>113963399.88048838</v>
      </c>
      <c r="Q138" s="38">
        <f t="shared" si="69"/>
        <v>115052006.78361523</v>
      </c>
      <c r="R138" s="38">
        <f t="shared" si="69"/>
        <v>116140613.6867421</v>
      </c>
      <c r="S138" s="38">
        <f t="shared" si="69"/>
        <v>117229220.58986896</v>
      </c>
      <c r="T138" s="38">
        <f t="shared" si="69"/>
        <v>94862480.822487205</v>
      </c>
      <c r="U138" s="38">
        <f t="shared" si="69"/>
        <v>94856504.880990326</v>
      </c>
      <c r="V138" s="38">
        <f t="shared" si="69"/>
        <v>94850528.939493462</v>
      </c>
      <c r="W138" s="38">
        <f t="shared" si="69"/>
        <v>94844552.997996584</v>
      </c>
      <c r="X138" s="38">
        <f t="shared" si="69"/>
        <v>94838577.056499705</v>
      </c>
      <c r="Y138" s="67">
        <f t="shared" si="69"/>
        <v>94832601.115002826</v>
      </c>
      <c r="Z138" s="38">
        <f t="shared" si="69"/>
        <v>94976625.173505947</v>
      </c>
      <c r="AA138" s="38">
        <f t="shared" si="69"/>
        <v>95120649.232009083</v>
      </c>
      <c r="AB138" s="67">
        <f t="shared" si="69"/>
        <v>95264673.290512204</v>
      </c>
      <c r="AC138" s="38">
        <f t="shared" si="69"/>
        <v>95408697.349015325</v>
      </c>
      <c r="AD138" s="38">
        <f t="shared" si="69"/>
        <v>95552721.407518446</v>
      </c>
      <c r="AE138" s="67">
        <f t="shared" si="69"/>
        <v>95696745.466021568</v>
      </c>
      <c r="AF138" s="38">
        <f t="shared" si="69"/>
        <v>95840769.524524689</v>
      </c>
      <c r="AG138" s="38">
        <f t="shared" si="69"/>
        <v>95984793.58302781</v>
      </c>
      <c r="AH138" s="115">
        <f t="shared" si="69"/>
        <v>96128817.641530931</v>
      </c>
    </row>
    <row r="139" spans="1:35" x14ac:dyDescent="0.25">
      <c r="B139" s="165" t="s">
        <v>115</v>
      </c>
      <c r="C139" s="275" t="s">
        <v>46</v>
      </c>
      <c r="D139" s="75">
        <f t="shared" ref="D139:AH139" si="70">D137+D138</f>
        <v>-1563689778.0339069</v>
      </c>
      <c r="E139" s="74">
        <f t="shared" si="70"/>
        <v>101988723.94609295</v>
      </c>
      <c r="F139" s="74">
        <f t="shared" si="70"/>
        <v>103077330.8492198</v>
      </c>
      <c r="G139" s="74">
        <f t="shared" si="70"/>
        <v>104165937.75234666</v>
      </c>
      <c r="H139" s="74">
        <f t="shared" si="70"/>
        <v>105254544.65547352</v>
      </c>
      <c r="I139" s="74">
        <f t="shared" si="70"/>
        <v>106343151.55860038</v>
      </c>
      <c r="J139" s="74">
        <f t="shared" si="70"/>
        <v>107431758.46172723</v>
      </c>
      <c r="K139" s="74">
        <f t="shared" si="70"/>
        <v>108520365.3648541</v>
      </c>
      <c r="L139" s="74">
        <f t="shared" si="70"/>
        <v>109608972.26798095</v>
      </c>
      <c r="M139" s="74">
        <f t="shared" si="70"/>
        <v>110697579.1711078</v>
      </c>
      <c r="N139" s="74">
        <f t="shared" si="70"/>
        <v>111786186.07423466</v>
      </c>
      <c r="O139" s="74">
        <f t="shared" si="70"/>
        <v>112874792.97736153</v>
      </c>
      <c r="P139" s="74">
        <f t="shared" si="70"/>
        <v>113963399.88048838</v>
      </c>
      <c r="Q139" s="74">
        <f t="shared" si="70"/>
        <v>115052006.78361523</v>
      </c>
      <c r="R139" s="74">
        <f t="shared" si="70"/>
        <v>116140613.6867421</v>
      </c>
      <c r="S139" s="74">
        <f t="shared" si="70"/>
        <v>117229220.58986896</v>
      </c>
      <c r="T139" s="74">
        <f t="shared" si="70"/>
        <v>94862480.822487205</v>
      </c>
      <c r="U139" s="74">
        <f t="shared" si="70"/>
        <v>94856504.880990326</v>
      </c>
      <c r="V139" s="74">
        <f t="shared" si="70"/>
        <v>94850528.939493462</v>
      </c>
      <c r="W139" s="74">
        <f t="shared" si="70"/>
        <v>94844552.997996584</v>
      </c>
      <c r="X139" s="74">
        <f t="shared" si="70"/>
        <v>94838577.056499705</v>
      </c>
      <c r="Y139" s="75">
        <f t="shared" si="70"/>
        <v>94832601.115002826</v>
      </c>
      <c r="Z139" s="74">
        <f t="shared" si="70"/>
        <v>94976625.173505947</v>
      </c>
      <c r="AA139" s="74">
        <f t="shared" si="70"/>
        <v>95120649.232009083</v>
      </c>
      <c r="AB139" s="75">
        <f t="shared" si="70"/>
        <v>95264673.290512204</v>
      </c>
      <c r="AC139" s="74">
        <f t="shared" si="70"/>
        <v>95408697.349015325</v>
      </c>
      <c r="AD139" s="74">
        <f t="shared" si="70"/>
        <v>95552721.407518446</v>
      </c>
      <c r="AE139" s="75">
        <f t="shared" si="70"/>
        <v>95696745.466021568</v>
      </c>
      <c r="AF139" s="74">
        <f t="shared" si="70"/>
        <v>95840769.524524689</v>
      </c>
      <c r="AG139" s="74">
        <f t="shared" si="70"/>
        <v>95984793.58302781</v>
      </c>
      <c r="AH139" s="628">
        <f t="shared" si="70"/>
        <v>96128817.641530931</v>
      </c>
    </row>
    <row r="140" spans="1:35" ht="13" thickBot="1" x14ac:dyDescent="0.3">
      <c r="B140" s="76" t="s">
        <v>65</v>
      </c>
      <c r="C140" s="335">
        <f>IRR(D139:X139)</f>
        <v>3.1145458420751337E-2</v>
      </c>
      <c r="D140" s="77"/>
      <c r="E140" s="626" t="e">
        <f>IRR($D$139:D139)</f>
        <v>#NUM!</v>
      </c>
      <c r="F140" s="629">
        <f>IRR($D$139:E139)</f>
        <v>-0.93477688133618952</v>
      </c>
      <c r="G140" s="629">
        <f>IRR($D$139:F139)</f>
        <v>-0.70857806457515504</v>
      </c>
      <c r="H140" s="629">
        <f>IRR($D$139:G139)</f>
        <v>-0.51527022891013063</v>
      </c>
      <c r="I140" s="629">
        <f>IRR($D$139:H139)</f>
        <v>-0.37764035509792082</v>
      </c>
      <c r="J140" s="629">
        <f>IRR($D$139:I139)</f>
        <v>-0.28036132315784223</v>
      </c>
      <c r="K140" s="629">
        <f>IRR($D$139:J139)</f>
        <v>-0.21004565243011719</v>
      </c>
      <c r="L140" s="629">
        <f>IRR($D$139:K139)</f>
        <v>-0.1578660974504833</v>
      </c>
      <c r="M140" s="629">
        <f>IRR($D$139:L139)</f>
        <v>-0.11818692443617385</v>
      </c>
      <c r="N140" s="629">
        <f>IRR($D$139:M139)</f>
        <v>-8.7358696466656172E-2</v>
      </c>
      <c r="O140" s="629">
        <f>IRR($D$139:N139)</f>
        <v>-6.2958137232741129E-2</v>
      </c>
      <c r="P140" s="629">
        <f>IRR($D$139:O139)</f>
        <v>-4.3332843633349105E-2</v>
      </c>
      <c r="Q140" s="629">
        <f>IRR($D$139:P139)</f>
        <v>-2.7327362970380187E-2</v>
      </c>
      <c r="R140" s="629">
        <f>IRR($D$139:Q139)</f>
        <v>-1.4114990353819801E-2</v>
      </c>
      <c r="S140" s="629">
        <f>IRR($D$139:R139)</f>
        <v>-3.0919007851356595E-3</v>
      </c>
      <c r="T140" s="629">
        <f>IRR($D$139:S139)</f>
        <v>6.1911693991660854E-3</v>
      </c>
      <c r="U140" s="629">
        <f>IRR($D$139:T139)</f>
        <v>1.2607251118040175E-2</v>
      </c>
      <c r="V140" s="629">
        <f>IRR($D$139:U139)</f>
        <v>1.8198525101813301E-2</v>
      </c>
      <c r="W140" s="629">
        <f>IRR($D$139:V139)</f>
        <v>2.308618189385192E-2</v>
      </c>
      <c r="X140" s="629">
        <f>IRR($D$139:W139)</f>
        <v>2.7372974041076858E-2</v>
      </c>
      <c r="Y140" s="629">
        <f>IRR($D$139:X139)</f>
        <v>3.1145458420751337E-2</v>
      </c>
      <c r="Z140" s="629">
        <f>IRR($D$139:Y139)</f>
        <v>3.4476384832671014E-2</v>
      </c>
      <c r="AA140" s="629">
        <f>IRR($D$139:Z139)</f>
        <v>3.7431391299719063E-2</v>
      </c>
      <c r="AB140" s="629">
        <f>IRR($D$139:AA139)</f>
        <v>4.0060685376531957E-2</v>
      </c>
      <c r="AC140" s="629">
        <f>IRR($D$139:AB139)</f>
        <v>4.2406813034662205E-2</v>
      </c>
      <c r="AD140" s="629">
        <f>IRR($D$139:AC139)</f>
        <v>4.45059268914203E-2</v>
      </c>
      <c r="AE140" s="629">
        <f>IRR($D$139:AD139)</f>
        <v>4.638884365814766E-2</v>
      </c>
      <c r="AF140" s="629">
        <f>IRR($D$139:AE139)</f>
        <v>4.8081920075336848E-2</v>
      </c>
      <c r="AG140" s="629">
        <f>IRR($D$139:AF139)</f>
        <v>4.9607776384054336E-2</v>
      </c>
      <c r="AH140" s="630">
        <f>IRR($D$139:AG139)</f>
        <v>5.0985893510664848E-2</v>
      </c>
    </row>
    <row r="141" spans="1:35" x14ac:dyDescent="0.25">
      <c r="B141" s="19"/>
      <c r="C141" s="334"/>
      <c r="D141" s="336">
        <f>SUM($D$139:D139)</f>
        <v>-1563689778.0339069</v>
      </c>
      <c r="E141" s="336">
        <f>SUM($D$139:E139)</f>
        <v>-1461701054.0878141</v>
      </c>
      <c r="F141" s="336">
        <f>SUM($D$139:F139)</f>
        <v>-1358623723.2385943</v>
      </c>
      <c r="G141" s="336">
        <f>SUM($D$139:G139)</f>
        <v>-1254457785.4862475</v>
      </c>
      <c r="H141" s="336">
        <f>SUM($D$139:H139)</f>
        <v>-1149203240.8307741</v>
      </c>
      <c r="I141" s="336">
        <f>SUM($D$139:I139)</f>
        <v>-1042860089.2721736</v>
      </c>
      <c r="J141" s="336">
        <f>SUM($D$139:J139)</f>
        <v>-935428330.81044638</v>
      </c>
      <c r="K141" s="336">
        <f>SUM($D$139:K139)</f>
        <v>-826907965.44559228</v>
      </c>
      <c r="L141" s="336">
        <f>SUM($D$139:L139)</f>
        <v>-717298993.17761135</v>
      </c>
      <c r="M141" s="336">
        <f>SUM($D$139:M139)</f>
        <v>-606601414.00650358</v>
      </c>
      <c r="N141" s="336">
        <f>SUM($D$139:N139)</f>
        <v>-494815227.93226892</v>
      </c>
      <c r="O141" s="336">
        <f>SUM($D$139:O139)</f>
        <v>-381940434.95490742</v>
      </c>
      <c r="P141" s="336">
        <f>SUM($D$139:P139)</f>
        <v>-267977035.07441902</v>
      </c>
      <c r="Q141" s="336">
        <f>SUM($D$139:Q139)</f>
        <v>-152925028.29080379</v>
      </c>
      <c r="R141" s="336">
        <f>SUM($D$139:R139)</f>
        <v>-36784414.604061693</v>
      </c>
      <c r="S141" s="336">
        <f>SUM($D$139:S139)</f>
        <v>80444805.98580727</v>
      </c>
      <c r="T141" s="336">
        <f>SUM($D$139:T139)</f>
        <v>175307286.80829448</v>
      </c>
      <c r="U141" s="336">
        <f>SUM($D$139:U139)</f>
        <v>270163791.6892848</v>
      </c>
      <c r="V141" s="336">
        <f>SUM($D$139:V139)</f>
        <v>365014320.62877828</v>
      </c>
      <c r="W141" s="336">
        <f>SUM($D$139:W139)</f>
        <v>459858873.62677485</v>
      </c>
      <c r="X141" s="336">
        <f>SUM($D$139:X139)</f>
        <v>554697450.68327451</v>
      </c>
      <c r="Y141" s="336">
        <f>SUM($D$139:Y139)</f>
        <v>649530051.79827738</v>
      </c>
      <c r="Z141" s="336">
        <f>SUM($D$139:Z139)</f>
        <v>744506676.97178328</v>
      </c>
      <c r="AA141" s="336">
        <f>SUM($D$139:AA139)</f>
        <v>839627326.20379233</v>
      </c>
      <c r="AB141" s="336">
        <f>SUM($D$139:AB139)</f>
        <v>934891999.49430454</v>
      </c>
      <c r="AC141" s="336">
        <f>SUM($D$139:AC139)</f>
        <v>1030300696.8433199</v>
      </c>
      <c r="AD141" s="336">
        <f>SUM($D$139:AD139)</f>
        <v>1125853418.2508383</v>
      </c>
      <c r="AE141" s="336">
        <f>SUM($D$139:AE139)</f>
        <v>1221550163.7168598</v>
      </c>
      <c r="AF141" s="336">
        <f>SUM($D$139:AF139)</f>
        <v>1317390933.2413845</v>
      </c>
      <c r="AG141" s="336">
        <f>SUM($D$139:AG139)</f>
        <v>1413375726.8244123</v>
      </c>
      <c r="AH141" s="336">
        <f>SUM($D$139:AH139)</f>
        <v>1509504544.4659433</v>
      </c>
    </row>
    <row r="142" spans="1:35" x14ac:dyDescent="0.25">
      <c r="B142" s="19"/>
      <c r="C142" s="334"/>
      <c r="D142" s="19">
        <f>IF(D141&lt;0,9999,D136)</f>
        <v>9999</v>
      </c>
      <c r="E142" s="19">
        <f>IF(E141&lt;0,9999,E136)</f>
        <v>9999</v>
      </c>
      <c r="F142" s="19">
        <f t="shared" ref="F142:AH142" si="71">IF(F141&lt;0,9999,F136)</f>
        <v>9999</v>
      </c>
      <c r="G142" s="19">
        <f t="shared" si="71"/>
        <v>9999</v>
      </c>
      <c r="H142" s="19">
        <f t="shared" si="71"/>
        <v>9999</v>
      </c>
      <c r="I142" s="19">
        <f t="shared" si="71"/>
        <v>9999</v>
      </c>
      <c r="J142" s="19">
        <f t="shared" si="71"/>
        <v>9999</v>
      </c>
      <c r="K142" s="19">
        <f t="shared" si="71"/>
        <v>9999</v>
      </c>
      <c r="L142" s="19">
        <f t="shared" si="71"/>
        <v>9999</v>
      </c>
      <c r="M142" s="19">
        <f t="shared" si="71"/>
        <v>9999</v>
      </c>
      <c r="N142" s="19">
        <f>IF(N141&lt;0,9999,N136)</f>
        <v>9999</v>
      </c>
      <c r="O142" s="19">
        <f t="shared" si="71"/>
        <v>9999</v>
      </c>
      <c r="P142" s="19">
        <f t="shared" si="71"/>
        <v>9999</v>
      </c>
      <c r="Q142" s="19">
        <f t="shared" si="71"/>
        <v>9999</v>
      </c>
      <c r="R142" s="19">
        <f t="shared" si="71"/>
        <v>9999</v>
      </c>
      <c r="S142" s="19">
        <f t="shared" si="71"/>
        <v>15</v>
      </c>
      <c r="T142" s="19">
        <f t="shared" si="71"/>
        <v>16</v>
      </c>
      <c r="U142" s="19">
        <f t="shared" si="71"/>
        <v>17</v>
      </c>
      <c r="V142" s="19">
        <f t="shared" si="71"/>
        <v>18</v>
      </c>
      <c r="W142" s="19">
        <f t="shared" si="71"/>
        <v>19</v>
      </c>
      <c r="X142" s="19">
        <f t="shared" si="71"/>
        <v>20</v>
      </c>
      <c r="Y142" s="19">
        <f t="shared" si="71"/>
        <v>21</v>
      </c>
      <c r="Z142" s="19">
        <f t="shared" si="71"/>
        <v>22</v>
      </c>
      <c r="AA142" s="19">
        <f t="shared" si="71"/>
        <v>23</v>
      </c>
      <c r="AB142" s="19">
        <f t="shared" si="71"/>
        <v>24</v>
      </c>
      <c r="AC142" s="19">
        <f t="shared" si="71"/>
        <v>25</v>
      </c>
      <c r="AD142" s="19">
        <f t="shared" si="71"/>
        <v>26</v>
      </c>
      <c r="AE142" s="19">
        <f t="shared" si="71"/>
        <v>27</v>
      </c>
      <c r="AF142" s="19">
        <f t="shared" si="71"/>
        <v>28</v>
      </c>
      <c r="AG142" s="19">
        <f t="shared" si="71"/>
        <v>29</v>
      </c>
      <c r="AH142" s="19">
        <f t="shared" si="71"/>
        <v>30</v>
      </c>
    </row>
    <row r="143" spans="1:35" x14ac:dyDescent="0.25">
      <c r="C143" s="4"/>
      <c r="D143" s="78"/>
      <c r="E143" s="78"/>
      <c r="F143" s="78"/>
      <c r="G143" s="78"/>
      <c r="H143" s="78"/>
      <c r="I143" s="78"/>
      <c r="J143" s="78"/>
      <c r="K143" s="78"/>
      <c r="L143" s="78"/>
      <c r="M143" s="78"/>
      <c r="N143" s="78"/>
      <c r="O143" s="78"/>
      <c r="P143" s="78"/>
      <c r="Q143" s="78"/>
      <c r="R143" s="78"/>
      <c r="S143" s="78"/>
      <c r="T143" s="78"/>
      <c r="U143" s="78"/>
      <c r="V143" s="78"/>
      <c r="W143" s="78"/>
      <c r="X143" s="78"/>
      <c r="AH143" s="19"/>
      <c r="AI143" s="19"/>
    </row>
    <row r="144" spans="1:35" hidden="1" x14ac:dyDescent="0.25">
      <c r="A144" s="112" t="s">
        <v>19</v>
      </c>
      <c r="B144" s="113"/>
      <c r="D144" s="10"/>
      <c r="E144" s="10"/>
      <c r="F144" s="10"/>
      <c r="G144" s="10"/>
      <c r="H144" s="10"/>
      <c r="I144" s="10"/>
      <c r="J144" s="10"/>
      <c r="K144" s="10"/>
      <c r="L144" s="10"/>
      <c r="M144" s="10"/>
      <c r="N144" s="10"/>
      <c r="O144" s="10"/>
      <c r="P144" s="10"/>
      <c r="Q144" s="10"/>
      <c r="R144" s="10"/>
      <c r="S144" s="10"/>
      <c r="T144" s="10"/>
      <c r="U144" s="10"/>
      <c r="V144" s="10"/>
      <c r="W144" s="10"/>
      <c r="X144" s="10"/>
    </row>
    <row r="145" spans="1:34" ht="13" hidden="1" thickBot="1" x14ac:dyDescent="0.3">
      <c r="B145" s="79" t="s">
        <v>18</v>
      </c>
      <c r="C145" s="192"/>
      <c r="D145" s="28">
        <v>0</v>
      </c>
      <c r="E145" s="28">
        <v>1</v>
      </c>
      <c r="F145" s="28">
        <v>2</v>
      </c>
      <c r="G145" s="28">
        <v>3</v>
      </c>
      <c r="H145" s="28">
        <v>4</v>
      </c>
      <c r="I145" s="28">
        <v>5</v>
      </c>
      <c r="J145" s="28">
        <v>6</v>
      </c>
      <c r="K145" s="28">
        <v>7</v>
      </c>
      <c r="L145" s="28">
        <v>8</v>
      </c>
      <c r="M145" s="28">
        <v>9</v>
      </c>
      <c r="N145" s="28">
        <v>10</v>
      </c>
      <c r="O145" s="28">
        <v>11</v>
      </c>
      <c r="P145" s="28">
        <v>12</v>
      </c>
      <c r="Q145" s="28">
        <v>13</v>
      </c>
      <c r="R145" s="28">
        <v>14</v>
      </c>
      <c r="S145" s="28">
        <v>15</v>
      </c>
      <c r="T145" s="28">
        <v>16</v>
      </c>
      <c r="U145" s="28">
        <v>17</v>
      </c>
      <c r="V145" s="28">
        <v>18</v>
      </c>
      <c r="W145" s="28">
        <v>19</v>
      </c>
      <c r="X145" s="80">
        <v>20</v>
      </c>
      <c r="Y145" s="28">
        <v>21</v>
      </c>
      <c r="Z145" s="28">
        <v>22</v>
      </c>
      <c r="AA145" s="28">
        <v>23</v>
      </c>
      <c r="AB145" s="28">
        <v>24</v>
      </c>
      <c r="AC145" s="28">
        <v>25</v>
      </c>
      <c r="AD145" s="28">
        <v>26</v>
      </c>
      <c r="AE145" s="28">
        <v>27</v>
      </c>
      <c r="AF145" s="28">
        <v>28</v>
      </c>
      <c r="AG145" s="28">
        <v>29</v>
      </c>
      <c r="AH145" s="28">
        <v>30</v>
      </c>
    </row>
    <row r="146" spans="1:34" hidden="1" x14ac:dyDescent="0.25">
      <c r="B146" s="200" t="s">
        <v>67</v>
      </c>
      <c r="C146" s="181" t="s">
        <v>46</v>
      </c>
      <c r="D146" s="81"/>
      <c r="E146" s="81"/>
      <c r="F146" s="81"/>
      <c r="G146" s="81"/>
      <c r="H146" s="81"/>
      <c r="I146" s="81"/>
      <c r="J146" s="81"/>
      <c r="K146" s="81"/>
      <c r="L146" s="81"/>
      <c r="M146" s="81"/>
      <c r="N146" s="81"/>
      <c r="O146" s="81"/>
      <c r="P146" s="81"/>
      <c r="Q146" s="81"/>
      <c r="R146" s="81"/>
      <c r="S146" s="81"/>
      <c r="T146" s="81"/>
      <c r="U146" s="81"/>
      <c r="V146" s="81"/>
      <c r="W146" s="81"/>
      <c r="X146" s="83"/>
      <c r="Y146" s="81"/>
      <c r="Z146" s="81"/>
      <c r="AA146" s="81"/>
      <c r="AB146" s="81"/>
      <c r="AC146" s="81"/>
      <c r="AD146" s="81"/>
      <c r="AE146" s="81"/>
      <c r="AF146" s="81"/>
      <c r="AG146" s="4"/>
      <c r="AH146" s="82"/>
    </row>
    <row r="147" spans="1:34" hidden="1" x14ac:dyDescent="0.25">
      <c r="B147" s="108" t="s">
        <v>20</v>
      </c>
      <c r="C147" s="194" t="s">
        <v>46</v>
      </c>
      <c r="D147" s="38"/>
      <c r="E147" s="38" t="e">
        <f>#REF!</f>
        <v>#REF!</v>
      </c>
      <c r="F147" s="38" t="e">
        <f>#REF!</f>
        <v>#REF!</v>
      </c>
      <c r="G147" s="38" t="e">
        <f>#REF!</f>
        <v>#REF!</v>
      </c>
      <c r="H147" s="38" t="e">
        <f>#REF!</f>
        <v>#REF!</v>
      </c>
      <c r="I147" s="38" t="e">
        <f>#REF!</f>
        <v>#REF!</v>
      </c>
      <c r="J147" s="38" t="e">
        <f>#REF!</f>
        <v>#REF!</v>
      </c>
      <c r="K147" s="38" t="e">
        <f>#REF!</f>
        <v>#REF!</v>
      </c>
      <c r="L147" s="38" t="e">
        <f>#REF!</f>
        <v>#REF!</v>
      </c>
      <c r="M147" s="38" t="e">
        <f>#REF!</f>
        <v>#REF!</v>
      </c>
      <c r="N147" s="38" t="e">
        <f>#REF!</f>
        <v>#REF!</v>
      </c>
      <c r="O147" s="38" t="e">
        <f>#REF!</f>
        <v>#REF!</v>
      </c>
      <c r="P147" s="38" t="e">
        <f>#REF!</f>
        <v>#REF!</v>
      </c>
      <c r="Q147" s="38" t="e">
        <f>#REF!</f>
        <v>#REF!</v>
      </c>
      <c r="R147" s="38" t="e">
        <f>#REF!</f>
        <v>#REF!</v>
      </c>
      <c r="S147" s="38" t="e">
        <f>#REF!</f>
        <v>#REF!</v>
      </c>
      <c r="T147" s="38" t="e">
        <f>#REF!</f>
        <v>#REF!</v>
      </c>
      <c r="U147" s="38" t="e">
        <f>#REF!</f>
        <v>#REF!</v>
      </c>
      <c r="V147" s="38" t="e">
        <f>#REF!</f>
        <v>#REF!</v>
      </c>
      <c r="W147" s="38" t="e">
        <f>#REF!</f>
        <v>#REF!</v>
      </c>
      <c r="X147" s="84" t="e">
        <f>#REF!</f>
        <v>#REF!</v>
      </c>
      <c r="Y147" s="38" t="e">
        <f>#REF!</f>
        <v>#REF!</v>
      </c>
      <c r="Z147" s="38" t="e">
        <f>#REF!</f>
        <v>#REF!</v>
      </c>
      <c r="AA147" s="38" t="e">
        <f>#REF!</f>
        <v>#REF!</v>
      </c>
      <c r="AB147" s="38" t="e">
        <f>#REF!</f>
        <v>#REF!</v>
      </c>
      <c r="AC147" s="38" t="e">
        <f>#REF!</f>
        <v>#REF!</v>
      </c>
      <c r="AD147" s="38" t="e">
        <f>#REF!</f>
        <v>#REF!</v>
      </c>
      <c r="AE147" s="38" t="e">
        <f>#REF!</f>
        <v>#REF!</v>
      </c>
      <c r="AF147" s="38" t="e">
        <f>#REF!</f>
        <v>#REF!</v>
      </c>
      <c r="AG147" s="38" t="e">
        <f>#REF!</f>
        <v>#REF!</v>
      </c>
      <c r="AH147" s="38" t="e">
        <f>#REF!</f>
        <v>#REF!</v>
      </c>
    </row>
    <row r="148" spans="1:34" hidden="1" x14ac:dyDescent="0.25">
      <c r="B148" s="108" t="s">
        <v>21</v>
      </c>
      <c r="C148" s="194" t="s">
        <v>46</v>
      </c>
      <c r="D148" s="38"/>
      <c r="E148" s="38" t="e">
        <f>C146+E147</f>
        <v>#VALUE!</v>
      </c>
      <c r="F148" s="38" t="e">
        <f>E148+F147</f>
        <v>#VALUE!</v>
      </c>
      <c r="G148" s="38" t="e">
        <f>SUM($E147:G147)</f>
        <v>#REF!</v>
      </c>
      <c r="H148" s="38" t="e">
        <f>SUM($E147:H147)</f>
        <v>#REF!</v>
      </c>
      <c r="I148" s="38" t="e">
        <f>SUM($E147:I147)</f>
        <v>#REF!</v>
      </c>
      <c r="J148" s="38" t="e">
        <f>SUM($E147:J147)</f>
        <v>#REF!</v>
      </c>
      <c r="K148" s="38" t="e">
        <f>SUM($E147:K147)</f>
        <v>#REF!</v>
      </c>
      <c r="L148" s="38" t="e">
        <f>SUM($E147:L147)</f>
        <v>#REF!</v>
      </c>
      <c r="M148" s="38" t="e">
        <f>SUM($E147:M147)</f>
        <v>#REF!</v>
      </c>
      <c r="N148" s="38" t="e">
        <f>SUM($E147:N147)</f>
        <v>#REF!</v>
      </c>
      <c r="O148" s="38" t="e">
        <f>SUM($E147:O147)</f>
        <v>#REF!</v>
      </c>
      <c r="P148" s="38" t="e">
        <f>SUM($E147:P147)</f>
        <v>#REF!</v>
      </c>
      <c r="Q148" s="38" t="e">
        <f>SUM($E147:Q147)</f>
        <v>#REF!</v>
      </c>
      <c r="R148" s="38" t="e">
        <f>SUM($E147:R147)</f>
        <v>#REF!</v>
      </c>
      <c r="S148" s="38" t="e">
        <f>SUM($E147:S147)</f>
        <v>#REF!</v>
      </c>
      <c r="T148" s="38" t="e">
        <f>SUM($E147:T147)</f>
        <v>#REF!</v>
      </c>
      <c r="U148" s="38" t="e">
        <f>SUM($E147:U147)</f>
        <v>#REF!</v>
      </c>
      <c r="V148" s="38" t="e">
        <f>SUM($E147:V147)</f>
        <v>#REF!</v>
      </c>
      <c r="W148" s="38" t="e">
        <f>SUM($E147:W147)</f>
        <v>#REF!</v>
      </c>
      <c r="X148" s="84" t="e">
        <f>SUM($E147:X147)</f>
        <v>#REF!</v>
      </c>
      <c r="Y148" s="38" t="e">
        <f>SUM($E147:Y147)</f>
        <v>#REF!</v>
      </c>
      <c r="Z148" s="38" t="e">
        <f>SUM($E147:Z147)</f>
        <v>#REF!</v>
      </c>
      <c r="AA148" s="38" t="e">
        <f>SUM($E147:AA147)</f>
        <v>#REF!</v>
      </c>
      <c r="AB148" s="38" t="e">
        <f>SUM($E147:AB147)</f>
        <v>#REF!</v>
      </c>
      <c r="AC148" s="38" t="e">
        <f>SUM($E147:AC147)</f>
        <v>#REF!</v>
      </c>
      <c r="AD148" s="38" t="e">
        <f>SUM($E147:AD147)</f>
        <v>#REF!</v>
      </c>
      <c r="AE148" s="38" t="e">
        <f>SUM($E147:AE147)</f>
        <v>#REF!</v>
      </c>
      <c r="AF148" s="38" t="e">
        <f>SUM($E147:AF147)</f>
        <v>#REF!</v>
      </c>
      <c r="AG148" s="38" t="e">
        <f>SUM($E147:AG147)</f>
        <v>#REF!</v>
      </c>
      <c r="AH148" s="38" t="e">
        <f>SUM($E147:AH147)</f>
        <v>#REF!</v>
      </c>
    </row>
    <row r="149" spans="1:34" hidden="1" x14ac:dyDescent="0.25">
      <c r="B149" s="109" t="s">
        <v>22</v>
      </c>
      <c r="C149" s="193" t="s">
        <v>46</v>
      </c>
      <c r="D149" s="85"/>
      <c r="E149" s="85" t="e">
        <f>IF(SUM(#REF!)&gt;0,SUM($E147:E147),0)-IF(C149=0,0,C148)</f>
        <v>#REF!</v>
      </c>
      <c r="F149" s="85" t="e">
        <f>IF(SUM(#REF!)&gt;0,SUM($E147:F147),0)-IF(E149=0,0,E148)</f>
        <v>#REF!</v>
      </c>
      <c r="G149" s="85" t="e">
        <f>IF(SUM(#REF!)&gt;0,SUM($E147:G147),0)-IF(F149=0,0,F148)</f>
        <v>#REF!</v>
      </c>
      <c r="H149" s="85" t="e">
        <f>IF(SUM(#REF!)&gt;0,SUM($E147:H147),0)-IF(G149=0,0,G148)</f>
        <v>#REF!</v>
      </c>
      <c r="I149" s="85" t="e">
        <f>IF(SUM(#REF!)&gt;0,SUM($E147:I147),0)-IF(H149=0,0,H148)</f>
        <v>#REF!</v>
      </c>
      <c r="J149" s="85" t="e">
        <f>IF(SUM(#REF!)&gt;0,SUM($E147:J147),0)-IF(I149=0,0,I148)</f>
        <v>#REF!</v>
      </c>
      <c r="K149" s="85" t="e">
        <f>IF(SUM(#REF!)&gt;0,SUM($E147:K147),0)-IF(J149=0,0,J148)</f>
        <v>#REF!</v>
      </c>
      <c r="L149" s="85" t="e">
        <f>IF(SUM(#REF!)&gt;0,SUM($E147:L147),0)-IF(K149=0,0,K148)</f>
        <v>#REF!</v>
      </c>
      <c r="M149" s="85" t="e">
        <f>IF(SUM(#REF!)&gt;0,SUM($E147:M147),0)-IF(L149=0,0,L148)</f>
        <v>#REF!</v>
      </c>
      <c r="N149" s="85" t="e">
        <f>IF(SUM(#REF!)&gt;0,SUM($E147:N147),0)-IF(M149=0,0,M148)</f>
        <v>#REF!</v>
      </c>
      <c r="O149" s="85" t="e">
        <f>IF(SUM(#REF!)&gt;0,SUM($E147:O147),0)-IF(N149=0,0,N148)</f>
        <v>#REF!</v>
      </c>
      <c r="P149" s="85" t="e">
        <f>IF(SUM(#REF!)&gt;0,SUM($E147:P147),0)-IF(O149=0,0,O148)</f>
        <v>#REF!</v>
      </c>
      <c r="Q149" s="85" t="e">
        <f>IF(SUM(#REF!)&gt;0,SUM($E147:Q147),0)-IF(P149=0,0,P148)</f>
        <v>#REF!</v>
      </c>
      <c r="R149" s="85" t="e">
        <f>IF(SUM(#REF!)&gt;0,SUM($E147:R147),0)-IF(Q149=0,0,Q148)</f>
        <v>#REF!</v>
      </c>
      <c r="S149" s="85" t="e">
        <f>IF(SUM(#REF!)&gt;0,SUM($E147:S147),0)-IF(R149=0,0,R148)</f>
        <v>#REF!</v>
      </c>
      <c r="T149" s="85" t="e">
        <f>IF(SUM(#REF!)&gt;0,SUM($E147:T147),0)-IF(S149=0,0,S148)</f>
        <v>#REF!</v>
      </c>
      <c r="U149" s="85" t="e">
        <f>IF(SUM(#REF!)&gt;0,SUM($E147:U147),0)-IF(T149=0,0,T148)</f>
        <v>#REF!</v>
      </c>
      <c r="V149" s="85" t="e">
        <f>IF(SUM(#REF!)&gt;0,SUM($E147:V147),0)-IF(U149=0,0,U148)</f>
        <v>#REF!</v>
      </c>
      <c r="W149" s="85" t="e">
        <f>IF(SUM(#REF!)&gt;0,SUM($E147:W147),0)-IF(V149=0,0,V148)</f>
        <v>#REF!</v>
      </c>
      <c r="X149" s="86" t="e">
        <f>IF(SUM(#REF!)&gt;0,SUM($E147:X147),0)-IF(W149=0,0,W148)</f>
        <v>#REF!</v>
      </c>
      <c r="Y149" s="85" t="e">
        <f>IF(SUM(#REF!)&gt;0,SUM($E147:Y147),0)-IF(X149=0,0,X148)</f>
        <v>#REF!</v>
      </c>
      <c r="Z149" s="85" t="e">
        <f>IF(SUM(#REF!)&gt;0,SUM($E147:Z147),0)-IF(Y149=0,0,Y148)</f>
        <v>#REF!</v>
      </c>
      <c r="AA149" s="85" t="e">
        <f>IF(SUM(#REF!)&gt;0,SUM($E147:AA147),0)-IF(Z149=0,0,Z148)</f>
        <v>#REF!</v>
      </c>
      <c r="AB149" s="85" t="e">
        <f>IF(SUM(#REF!)&gt;0,SUM($E147:AB147),0)-IF(AA149=0,0,AA148)</f>
        <v>#REF!</v>
      </c>
      <c r="AC149" s="85" t="e">
        <f>IF(SUM(#REF!)&gt;0,SUM($E147:AC147),0)-IF(AB149=0,0,AB148)</f>
        <v>#REF!</v>
      </c>
      <c r="AD149" s="85" t="e">
        <f>IF(SUM(#REF!)&gt;0,SUM($E147:AD147),0)-IF(AC149=0,0,AC148)</f>
        <v>#REF!</v>
      </c>
      <c r="AE149" s="85" t="e">
        <f>IF(SUM(#REF!)&gt;0,SUM($E147:AE147),0)-IF(AD149=0,0,AD148)</f>
        <v>#REF!</v>
      </c>
      <c r="AF149" s="85" t="e">
        <f>IF(SUM(#REF!)&gt;0,SUM($E147:AF147),0)-IF(AE149=0,0,AE148)</f>
        <v>#REF!</v>
      </c>
      <c r="AG149" s="85" t="e">
        <f>IF(SUM(#REF!)&gt;0,SUM($E147:AG147),0)-IF(AF149=0,0,AF148)</f>
        <v>#REF!</v>
      </c>
      <c r="AH149" s="85" t="e">
        <f>IF(SUM(#REF!)&gt;0,SUM($E147:AH147),0)-IF(AG149=0,0,AG148)</f>
        <v>#REF!</v>
      </c>
    </row>
    <row r="150" spans="1:34" hidden="1" x14ac:dyDescent="0.25">
      <c r="B150" s="110" t="s">
        <v>30</v>
      </c>
      <c r="C150" s="193" t="s">
        <v>46</v>
      </c>
      <c r="D150" s="74"/>
      <c r="E150" s="74" t="e">
        <f t="shared" ref="E150:AH150" si="72">E149</f>
        <v>#REF!</v>
      </c>
      <c r="F150" s="74" t="e">
        <f t="shared" si="72"/>
        <v>#REF!</v>
      </c>
      <c r="G150" s="74" t="e">
        <f t="shared" si="72"/>
        <v>#REF!</v>
      </c>
      <c r="H150" s="74" t="e">
        <f t="shared" si="72"/>
        <v>#REF!</v>
      </c>
      <c r="I150" s="74" t="e">
        <f t="shared" si="72"/>
        <v>#REF!</v>
      </c>
      <c r="J150" s="74" t="e">
        <f t="shared" si="72"/>
        <v>#REF!</v>
      </c>
      <c r="K150" s="74" t="e">
        <f t="shared" si="72"/>
        <v>#REF!</v>
      </c>
      <c r="L150" s="74" t="e">
        <f t="shared" si="72"/>
        <v>#REF!</v>
      </c>
      <c r="M150" s="74" t="e">
        <f t="shared" si="72"/>
        <v>#REF!</v>
      </c>
      <c r="N150" s="74" t="e">
        <f t="shared" si="72"/>
        <v>#REF!</v>
      </c>
      <c r="O150" s="74" t="e">
        <f t="shared" si="72"/>
        <v>#REF!</v>
      </c>
      <c r="P150" s="74" t="e">
        <f t="shared" si="72"/>
        <v>#REF!</v>
      </c>
      <c r="Q150" s="74" t="e">
        <f t="shared" si="72"/>
        <v>#REF!</v>
      </c>
      <c r="R150" s="74" t="e">
        <f t="shared" si="72"/>
        <v>#REF!</v>
      </c>
      <c r="S150" s="74" t="e">
        <f t="shared" si="72"/>
        <v>#REF!</v>
      </c>
      <c r="T150" s="74" t="e">
        <f t="shared" si="72"/>
        <v>#REF!</v>
      </c>
      <c r="U150" s="74" t="e">
        <f t="shared" si="72"/>
        <v>#REF!</v>
      </c>
      <c r="V150" s="74" t="e">
        <f t="shared" si="72"/>
        <v>#REF!</v>
      </c>
      <c r="W150" s="74" t="e">
        <f t="shared" si="72"/>
        <v>#REF!</v>
      </c>
      <c r="X150" s="88" t="e">
        <f t="shared" si="72"/>
        <v>#REF!</v>
      </c>
      <c r="Y150" s="74" t="e">
        <f t="shared" si="72"/>
        <v>#REF!</v>
      </c>
      <c r="Z150" s="74" t="e">
        <f t="shared" si="72"/>
        <v>#REF!</v>
      </c>
      <c r="AA150" s="74" t="e">
        <f t="shared" si="72"/>
        <v>#REF!</v>
      </c>
      <c r="AB150" s="74" t="e">
        <f t="shared" si="72"/>
        <v>#REF!</v>
      </c>
      <c r="AC150" s="74" t="e">
        <f t="shared" si="72"/>
        <v>#REF!</v>
      </c>
      <c r="AD150" s="74" t="e">
        <f t="shared" si="72"/>
        <v>#REF!</v>
      </c>
      <c r="AE150" s="74" t="e">
        <f t="shared" si="72"/>
        <v>#REF!</v>
      </c>
      <c r="AF150" s="74" t="e">
        <f t="shared" si="72"/>
        <v>#REF!</v>
      </c>
      <c r="AG150" s="87" t="e">
        <f t="shared" si="72"/>
        <v>#REF!</v>
      </c>
      <c r="AH150" s="74" t="e">
        <f t="shared" si="72"/>
        <v>#REF!</v>
      </c>
    </row>
    <row r="151" spans="1:34" ht="13" hidden="1" thickBot="1" x14ac:dyDescent="0.3">
      <c r="B151" s="111" t="s">
        <v>23</v>
      </c>
      <c r="C151" s="89" t="e">
        <f>IRR(C150:S150)</f>
        <v>#VALUE!</v>
      </c>
      <c r="D151" s="77"/>
      <c r="E151" s="77"/>
      <c r="F151" s="77"/>
      <c r="G151" s="77"/>
      <c r="H151" s="77"/>
      <c r="I151" s="77"/>
      <c r="J151" s="77"/>
      <c r="K151" s="77"/>
      <c r="L151" s="77"/>
      <c r="M151" s="77"/>
      <c r="N151" s="77"/>
      <c r="O151" s="77"/>
      <c r="P151" s="77"/>
      <c r="Q151" s="77"/>
      <c r="R151" s="77"/>
      <c r="S151" s="77"/>
      <c r="T151" s="77"/>
      <c r="U151" s="77"/>
      <c r="V151" s="77"/>
      <c r="W151" s="77"/>
      <c r="X151" s="90"/>
      <c r="Y151" s="77"/>
      <c r="Z151" s="77"/>
      <c r="AA151" s="77"/>
      <c r="AB151" s="77"/>
      <c r="AC151" s="77"/>
      <c r="AD151" s="77"/>
      <c r="AE151" s="77"/>
      <c r="AF151" s="77"/>
      <c r="AG151" s="77"/>
      <c r="AH151" s="77"/>
    </row>
    <row r="152" spans="1:34" x14ac:dyDescent="0.25">
      <c r="C152" s="91"/>
      <c r="D152" s="10"/>
      <c r="E152" s="10"/>
      <c r="F152" s="10"/>
      <c r="G152" s="10"/>
      <c r="H152" s="10"/>
      <c r="I152" s="10"/>
      <c r="J152" s="10"/>
      <c r="K152" s="10"/>
      <c r="L152" s="10"/>
      <c r="M152" s="10"/>
      <c r="N152" s="10"/>
      <c r="O152" s="10"/>
      <c r="P152" s="10"/>
      <c r="Q152" s="10"/>
      <c r="R152" s="10"/>
      <c r="S152" s="10"/>
      <c r="T152" s="10"/>
      <c r="U152" s="10"/>
      <c r="V152" s="10"/>
      <c r="W152" s="10"/>
      <c r="X152" s="10"/>
    </row>
    <row r="153" spans="1:34" ht="13" thickBot="1" x14ac:dyDescent="0.3">
      <c r="A153" s="267" t="s">
        <v>116</v>
      </c>
      <c r="B153" s="21"/>
      <c r="D153" s="10"/>
      <c r="E153" s="10"/>
      <c r="F153" s="10"/>
      <c r="G153" s="10"/>
      <c r="H153" s="10"/>
      <c r="I153" s="10"/>
      <c r="J153" s="10"/>
      <c r="K153" s="10"/>
      <c r="L153" s="10"/>
      <c r="M153" s="10"/>
      <c r="N153" s="10"/>
      <c r="O153" s="10"/>
      <c r="P153" s="10"/>
      <c r="Q153" s="10"/>
      <c r="R153" s="10"/>
      <c r="S153" s="10"/>
      <c r="T153" s="10"/>
      <c r="U153" s="10"/>
      <c r="V153" s="10"/>
      <c r="W153" s="10"/>
      <c r="X153" s="10"/>
    </row>
    <row r="154" spans="1:34" ht="13" thickBot="1" x14ac:dyDescent="0.3">
      <c r="A154" s="21"/>
      <c r="B154" s="79" t="s">
        <v>18</v>
      </c>
      <c r="C154" s="92"/>
      <c r="D154" s="28">
        <v>0</v>
      </c>
      <c r="E154" s="28">
        <v>1</v>
      </c>
      <c r="F154" s="28">
        <v>2</v>
      </c>
      <c r="G154" s="28">
        <v>3</v>
      </c>
      <c r="H154" s="28">
        <v>4</v>
      </c>
      <c r="I154" s="28">
        <v>5</v>
      </c>
      <c r="J154" s="28">
        <v>6</v>
      </c>
      <c r="K154" s="28">
        <v>7</v>
      </c>
      <c r="L154" s="28">
        <v>8</v>
      </c>
      <c r="M154" s="28">
        <v>9</v>
      </c>
      <c r="N154" s="28">
        <v>10</v>
      </c>
      <c r="O154" s="28">
        <v>11</v>
      </c>
      <c r="P154" s="28">
        <v>12</v>
      </c>
      <c r="Q154" s="28">
        <v>13</v>
      </c>
      <c r="R154" s="28">
        <v>14</v>
      </c>
      <c r="S154" s="28">
        <v>15</v>
      </c>
      <c r="T154" s="28">
        <v>16</v>
      </c>
      <c r="U154" s="28">
        <v>17</v>
      </c>
      <c r="V154" s="28">
        <v>18</v>
      </c>
      <c r="W154" s="28">
        <v>19</v>
      </c>
      <c r="X154" s="80">
        <v>20</v>
      </c>
      <c r="Y154" s="28">
        <v>21</v>
      </c>
      <c r="Z154" s="28">
        <v>22</v>
      </c>
      <c r="AA154" s="28">
        <v>23</v>
      </c>
      <c r="AB154" s="28">
        <v>24</v>
      </c>
      <c r="AC154" s="28">
        <v>25</v>
      </c>
      <c r="AD154" s="28">
        <v>26</v>
      </c>
      <c r="AE154" s="28">
        <v>27</v>
      </c>
      <c r="AF154" s="28">
        <v>28</v>
      </c>
      <c r="AG154" s="28">
        <v>29</v>
      </c>
      <c r="AH154" s="28">
        <v>30</v>
      </c>
    </row>
    <row r="155" spans="1:34" x14ac:dyDescent="0.25">
      <c r="A155" s="21"/>
      <c r="B155" s="201" t="s">
        <v>24</v>
      </c>
      <c r="C155" s="194" t="s">
        <v>46</v>
      </c>
      <c r="D155" s="66"/>
      <c r="E155" s="66" t="e">
        <f>SUM(#REF!,E120,E121,E111,E118)</f>
        <v>#REF!</v>
      </c>
      <c r="F155" s="66" t="e">
        <f>SUM(#REF!,F120,F121,F111,F118)</f>
        <v>#REF!</v>
      </c>
      <c r="G155" s="66" t="e">
        <f>SUM(#REF!,G120,G121,G111,G118)</f>
        <v>#REF!</v>
      </c>
      <c r="H155" s="66" t="e">
        <f>SUM(#REF!,H120,H121,H111,H118)</f>
        <v>#REF!</v>
      </c>
      <c r="I155" s="66" t="e">
        <f>SUM(#REF!,I120,I121,I111,I118)</f>
        <v>#REF!</v>
      </c>
      <c r="J155" s="66" t="e">
        <f>SUM(#REF!,J120,J121,J111,J118)</f>
        <v>#REF!</v>
      </c>
      <c r="K155" s="66" t="e">
        <f>SUM(#REF!,K120,K121,K111,K118)</f>
        <v>#REF!</v>
      </c>
      <c r="L155" s="66" t="e">
        <f>SUM(#REF!,L120,L121,L111,L118)</f>
        <v>#REF!</v>
      </c>
      <c r="M155" s="66" t="e">
        <f>SUM(#REF!,M120,M121,M111,M118)</f>
        <v>#REF!</v>
      </c>
      <c r="N155" s="66" t="e">
        <f>SUM(#REF!,N120,N121,N111,N118)</f>
        <v>#REF!</v>
      </c>
      <c r="O155" s="66" t="e">
        <f>SUM(#REF!,O120,O121,O111,O118)</f>
        <v>#REF!</v>
      </c>
      <c r="P155" s="66" t="e">
        <f>SUM(#REF!,P120,P121,P111,P118)</f>
        <v>#REF!</v>
      </c>
      <c r="Q155" s="66" t="e">
        <f>SUM(#REF!,Q120,Q121,Q111,Q118)</f>
        <v>#REF!</v>
      </c>
      <c r="R155" s="66" t="e">
        <f>SUM(#REF!,R120,R121,R111,R118)</f>
        <v>#REF!</v>
      </c>
      <c r="S155" s="66" t="e">
        <f>SUM(#REF!,S120,S121,S111,S118)</f>
        <v>#REF!</v>
      </c>
      <c r="T155" s="66" t="e">
        <f>SUM(#REF!,T120,T121,T111,T118)</f>
        <v>#REF!</v>
      </c>
      <c r="U155" s="66" t="e">
        <f>SUM(#REF!,U120,U121,U111,U118)</f>
        <v>#REF!</v>
      </c>
      <c r="V155" s="66" t="e">
        <f>SUM(#REF!,V120,V121,V111,V118)</f>
        <v>#REF!</v>
      </c>
      <c r="W155" s="66" t="e">
        <f>SUM(#REF!,W120,W121,W111,W118)</f>
        <v>#REF!</v>
      </c>
      <c r="X155" s="66" t="e">
        <f>SUM(#REF!,X120,X121,X111,X118)</f>
        <v>#REF!</v>
      </c>
      <c r="Y155" s="66" t="e">
        <f>SUM(#REF!,Y120,Y121,Y111,Y118)</f>
        <v>#REF!</v>
      </c>
      <c r="Z155" s="66" t="e">
        <f>SUM(#REF!,Z120,Z121,Z111,Z118)</f>
        <v>#REF!</v>
      </c>
      <c r="AA155" s="66" t="e">
        <f>SUM(#REF!,AA120,AA121,AA111,AA118)</f>
        <v>#REF!</v>
      </c>
      <c r="AB155" s="66" t="e">
        <f>SUM(#REF!,AB120,AB121,AB111,AB118)</f>
        <v>#REF!</v>
      </c>
      <c r="AC155" s="66" t="e">
        <f>SUM(#REF!,AC120,AC121,AC111,AC118)</f>
        <v>#REF!</v>
      </c>
      <c r="AD155" s="66" t="e">
        <f>SUM(#REF!,AD120,AD121,AD111,AD118)</f>
        <v>#REF!</v>
      </c>
      <c r="AE155" s="66" t="e">
        <f>SUM(#REF!,AE120,AE121,AE111,AE118)</f>
        <v>#REF!</v>
      </c>
      <c r="AF155" s="66" t="e">
        <f>SUM(#REF!,AF120,AF121,AF111,AF118)</f>
        <v>#REF!</v>
      </c>
      <c r="AG155" s="66" t="e">
        <f>SUM(#REF!,AG120,AG121,AG111,AG118)</f>
        <v>#REF!</v>
      </c>
      <c r="AH155" s="66" t="e">
        <f>SUM(#REF!,AH120,AH121,AH111,AH118)</f>
        <v>#REF!</v>
      </c>
    </row>
    <row r="156" spans="1:34" x14ac:dyDescent="0.25">
      <c r="A156" s="21"/>
      <c r="B156" s="202" t="s">
        <v>25</v>
      </c>
      <c r="C156" s="193" t="s">
        <v>46</v>
      </c>
      <c r="D156" s="69"/>
      <c r="E156" s="69">
        <f>E122</f>
        <v>-60000000</v>
      </c>
      <c r="F156" s="69">
        <f t="shared" ref="F156:AH156" si="73">F122</f>
        <v>-59500000</v>
      </c>
      <c r="G156" s="69">
        <f t="shared" si="73"/>
        <v>-59000000</v>
      </c>
      <c r="H156" s="69">
        <f t="shared" si="73"/>
        <v>-58500000</v>
      </c>
      <c r="I156" s="69">
        <f t="shared" si="73"/>
        <v>-58000000</v>
      </c>
      <c r="J156" s="69">
        <f t="shared" si="73"/>
        <v>-57500000</v>
      </c>
      <c r="K156" s="69">
        <f t="shared" si="73"/>
        <v>-57000000</v>
      </c>
      <c r="L156" s="69">
        <f t="shared" si="73"/>
        <v>-56500000</v>
      </c>
      <c r="M156" s="69">
        <f t="shared" si="73"/>
        <v>-56000000</v>
      </c>
      <c r="N156" s="69">
        <f t="shared" si="73"/>
        <v>-55500000</v>
      </c>
      <c r="O156" s="69">
        <f t="shared" si="73"/>
        <v>-55000000</v>
      </c>
      <c r="P156" s="69">
        <f t="shared" si="73"/>
        <v>-54500000</v>
      </c>
      <c r="Q156" s="69">
        <f t="shared" si="73"/>
        <v>-54000000</v>
      </c>
      <c r="R156" s="69">
        <f t="shared" si="73"/>
        <v>-53500000</v>
      </c>
      <c r="S156" s="69">
        <f t="shared" si="73"/>
        <v>-53000000</v>
      </c>
      <c r="T156" s="69">
        <f t="shared" si="73"/>
        <v>-52500000</v>
      </c>
      <c r="U156" s="69">
        <f t="shared" si="73"/>
        <v>-52000000</v>
      </c>
      <c r="V156" s="69">
        <f t="shared" si="73"/>
        <v>-51500000</v>
      </c>
      <c r="W156" s="69">
        <f t="shared" si="73"/>
        <v>-51000000</v>
      </c>
      <c r="X156" s="69">
        <f t="shared" si="73"/>
        <v>-50500000</v>
      </c>
      <c r="Y156" s="69">
        <f t="shared" si="73"/>
        <v>0</v>
      </c>
      <c r="Z156" s="69">
        <f t="shared" si="73"/>
        <v>0</v>
      </c>
      <c r="AA156" s="69">
        <f t="shared" si="73"/>
        <v>0</v>
      </c>
      <c r="AB156" s="69">
        <f t="shared" si="73"/>
        <v>0</v>
      </c>
      <c r="AC156" s="69">
        <f t="shared" si="73"/>
        <v>0</v>
      </c>
      <c r="AD156" s="69">
        <f t="shared" si="73"/>
        <v>0</v>
      </c>
      <c r="AE156" s="69">
        <f t="shared" si="73"/>
        <v>0</v>
      </c>
      <c r="AF156" s="69">
        <f t="shared" si="73"/>
        <v>0</v>
      </c>
      <c r="AG156" s="69">
        <f t="shared" si="73"/>
        <v>0</v>
      </c>
      <c r="AH156" s="69">
        <f t="shared" si="73"/>
        <v>0</v>
      </c>
    </row>
    <row r="157" spans="1:34" x14ac:dyDescent="0.25">
      <c r="A157" s="21"/>
      <c r="B157" s="203" t="s">
        <v>26</v>
      </c>
      <c r="C157" s="198"/>
      <c r="D157" s="196" t="str">
        <f t="shared" ref="D157:AH157" si="74">IF(D156=0,"N.A",D155/-D156)</f>
        <v>N.A</v>
      </c>
      <c r="E157" s="195" t="e">
        <f t="shared" si="74"/>
        <v>#REF!</v>
      </c>
      <c r="F157" s="195" t="e">
        <f t="shared" si="74"/>
        <v>#REF!</v>
      </c>
      <c r="G157" s="195" t="e">
        <f t="shared" si="74"/>
        <v>#REF!</v>
      </c>
      <c r="H157" s="195" t="e">
        <f t="shared" si="74"/>
        <v>#REF!</v>
      </c>
      <c r="I157" s="195" t="e">
        <f t="shared" si="74"/>
        <v>#REF!</v>
      </c>
      <c r="J157" s="195" t="e">
        <f t="shared" si="74"/>
        <v>#REF!</v>
      </c>
      <c r="K157" s="195" t="e">
        <f t="shared" si="74"/>
        <v>#REF!</v>
      </c>
      <c r="L157" s="195" t="e">
        <f t="shared" si="74"/>
        <v>#REF!</v>
      </c>
      <c r="M157" s="195" t="e">
        <f t="shared" si="74"/>
        <v>#REF!</v>
      </c>
      <c r="N157" s="195" t="e">
        <f t="shared" si="74"/>
        <v>#REF!</v>
      </c>
      <c r="O157" s="195" t="e">
        <f t="shared" si="74"/>
        <v>#REF!</v>
      </c>
      <c r="P157" s="195" t="e">
        <f t="shared" si="74"/>
        <v>#REF!</v>
      </c>
      <c r="Q157" s="195" t="e">
        <f t="shared" si="74"/>
        <v>#REF!</v>
      </c>
      <c r="R157" s="195" t="e">
        <f t="shared" si="74"/>
        <v>#REF!</v>
      </c>
      <c r="S157" s="195" t="e">
        <f t="shared" si="74"/>
        <v>#REF!</v>
      </c>
      <c r="T157" s="195" t="e">
        <f t="shared" si="74"/>
        <v>#REF!</v>
      </c>
      <c r="U157" s="195" t="e">
        <f t="shared" si="74"/>
        <v>#REF!</v>
      </c>
      <c r="V157" s="195" t="e">
        <f t="shared" si="74"/>
        <v>#REF!</v>
      </c>
      <c r="W157" s="195" t="e">
        <f t="shared" si="74"/>
        <v>#REF!</v>
      </c>
      <c r="X157" s="195" t="e">
        <f t="shared" si="74"/>
        <v>#REF!</v>
      </c>
      <c r="Y157" s="195" t="str">
        <f t="shared" si="74"/>
        <v>N.A</v>
      </c>
      <c r="Z157" s="195" t="str">
        <f t="shared" si="74"/>
        <v>N.A</v>
      </c>
      <c r="AA157" s="195" t="str">
        <f t="shared" si="74"/>
        <v>N.A</v>
      </c>
      <c r="AB157" s="195" t="str">
        <f t="shared" si="74"/>
        <v>N.A</v>
      </c>
      <c r="AC157" s="195" t="str">
        <f t="shared" si="74"/>
        <v>N.A</v>
      </c>
      <c r="AD157" s="195" t="str">
        <f t="shared" si="74"/>
        <v>N.A</v>
      </c>
      <c r="AE157" s="195" t="str">
        <f t="shared" si="74"/>
        <v>N.A</v>
      </c>
      <c r="AF157" s="195" t="str">
        <f t="shared" si="74"/>
        <v>N.A</v>
      </c>
      <c r="AG157" s="195" t="str">
        <f t="shared" si="74"/>
        <v>N.A</v>
      </c>
      <c r="AH157" s="195" t="str">
        <f t="shared" si="74"/>
        <v>N.A</v>
      </c>
    </row>
    <row r="158" spans="1:34" ht="13" thickBot="1" x14ac:dyDescent="0.3">
      <c r="A158" s="21"/>
      <c r="B158" s="204" t="s">
        <v>27</v>
      </c>
      <c r="C158" s="199" t="e">
        <f>AVERAGE(E157:S157)</f>
        <v>#REF!</v>
      </c>
      <c r="D158" s="197"/>
      <c r="E158" s="93"/>
      <c r="F158" s="93"/>
      <c r="G158" s="93"/>
      <c r="H158" s="93"/>
      <c r="I158" s="93"/>
      <c r="J158" s="93"/>
      <c r="K158" s="93"/>
      <c r="L158" s="93"/>
      <c r="M158" s="93"/>
      <c r="N158" s="93"/>
      <c r="O158" s="93"/>
      <c r="P158" s="93"/>
      <c r="Q158" s="93"/>
      <c r="R158" s="93"/>
      <c r="S158" s="93"/>
      <c r="T158" s="93"/>
      <c r="U158" s="93"/>
      <c r="V158" s="93"/>
      <c r="W158" s="93"/>
      <c r="X158" s="94"/>
      <c r="Y158" s="93"/>
      <c r="Z158" s="93"/>
      <c r="AA158" s="93"/>
      <c r="AB158" s="93"/>
      <c r="AC158" s="93"/>
      <c r="AD158" s="93"/>
      <c r="AE158" s="93"/>
      <c r="AF158" s="93"/>
      <c r="AG158" s="93"/>
      <c r="AH158" s="93"/>
    </row>
    <row r="159" spans="1:34" x14ac:dyDescent="0.25">
      <c r="D159" s="10"/>
      <c r="E159" s="10"/>
      <c r="F159" s="10"/>
      <c r="G159" s="10"/>
      <c r="H159" s="10"/>
      <c r="I159" s="10"/>
      <c r="J159" s="10"/>
      <c r="K159" s="10"/>
      <c r="L159" s="10"/>
      <c r="M159" s="10"/>
      <c r="N159" s="10"/>
      <c r="O159" s="10"/>
      <c r="P159" s="10"/>
      <c r="Q159" s="10"/>
      <c r="R159" s="10"/>
      <c r="S159" s="10"/>
      <c r="T159" s="10"/>
      <c r="U159" s="10"/>
      <c r="V159" s="10"/>
      <c r="W159" s="10"/>
      <c r="X159" s="10"/>
    </row>
    <row r="160" spans="1:34" x14ac:dyDescent="0.25">
      <c r="D160" s="10"/>
      <c r="E160" s="10"/>
      <c r="F160" s="10"/>
      <c r="G160" s="10"/>
      <c r="H160" s="10"/>
      <c r="I160" s="10"/>
      <c r="J160" s="10"/>
      <c r="K160" s="10"/>
      <c r="L160" s="10"/>
      <c r="M160" s="10"/>
      <c r="N160" s="10"/>
      <c r="O160" s="10"/>
      <c r="P160" s="10"/>
      <c r="Q160" s="10"/>
      <c r="R160" s="10"/>
      <c r="S160" s="10"/>
      <c r="T160" s="10"/>
      <c r="U160" s="10"/>
      <c r="V160" s="10"/>
      <c r="W160" s="10"/>
      <c r="X160" s="10"/>
    </row>
    <row r="161" spans="1:34" ht="13" thickBot="1" x14ac:dyDescent="0.3">
      <c r="A161" s="303" t="s">
        <v>154</v>
      </c>
      <c r="B161" s="21"/>
      <c r="D161" s="10"/>
      <c r="E161" s="10"/>
      <c r="F161" s="10"/>
      <c r="G161" s="10"/>
      <c r="H161" s="10"/>
      <c r="I161" s="10"/>
      <c r="J161" s="10"/>
      <c r="K161" s="10"/>
      <c r="L161" s="10"/>
      <c r="M161" s="10"/>
      <c r="N161" s="10"/>
      <c r="O161" s="10"/>
      <c r="P161" s="10"/>
      <c r="Q161" s="10"/>
      <c r="R161" s="10"/>
      <c r="S161" s="10"/>
      <c r="T161" s="10"/>
      <c r="U161" s="10"/>
      <c r="V161" s="10"/>
      <c r="W161" s="10"/>
      <c r="X161" s="10"/>
    </row>
    <row r="162" spans="1:34" ht="13" thickBot="1" x14ac:dyDescent="0.3">
      <c r="A162" s="21"/>
      <c r="B162" s="290" t="s">
        <v>18</v>
      </c>
      <c r="C162" s="289"/>
      <c r="D162" s="28">
        <v>0</v>
      </c>
      <c r="E162" s="28">
        <v>1</v>
      </c>
      <c r="F162" s="28">
        <v>2</v>
      </c>
      <c r="G162" s="28">
        <v>3</v>
      </c>
      <c r="H162" s="28">
        <v>4</v>
      </c>
      <c r="I162" s="28">
        <v>5</v>
      </c>
      <c r="J162" s="28">
        <v>6</v>
      </c>
      <c r="K162" s="28">
        <v>7</v>
      </c>
      <c r="L162" s="28">
        <v>8</v>
      </c>
      <c r="M162" s="28">
        <v>9</v>
      </c>
      <c r="N162" s="28">
        <v>10</v>
      </c>
      <c r="O162" s="28">
        <v>11</v>
      </c>
      <c r="P162" s="28">
        <v>12</v>
      </c>
      <c r="Q162" s="28">
        <v>13</v>
      </c>
      <c r="R162" s="28">
        <v>14</v>
      </c>
      <c r="S162" s="28">
        <v>15</v>
      </c>
      <c r="T162" s="28">
        <v>16</v>
      </c>
      <c r="U162" s="28">
        <v>17</v>
      </c>
      <c r="V162" s="28">
        <v>18</v>
      </c>
      <c r="W162" s="28">
        <v>19</v>
      </c>
      <c r="X162" s="80">
        <v>20</v>
      </c>
      <c r="Y162" s="28">
        <v>21</v>
      </c>
      <c r="Z162" s="28">
        <v>22</v>
      </c>
      <c r="AA162" s="28">
        <v>23</v>
      </c>
      <c r="AB162" s="28">
        <v>24</v>
      </c>
      <c r="AC162" s="28">
        <v>25</v>
      </c>
      <c r="AD162" s="28">
        <v>26</v>
      </c>
      <c r="AE162" s="28">
        <v>27</v>
      </c>
      <c r="AF162" s="28">
        <v>28</v>
      </c>
      <c r="AG162" s="28">
        <v>29</v>
      </c>
      <c r="AH162" s="80">
        <v>30</v>
      </c>
    </row>
    <row r="163" spans="1:34" x14ac:dyDescent="0.25">
      <c r="A163" s="21"/>
      <c r="B163" s="304" t="str">
        <f>インプット!B73</f>
        <v>設備費用</v>
      </c>
      <c r="C163" s="285"/>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306"/>
    </row>
    <row r="164" spans="1:34" x14ac:dyDescent="0.25">
      <c r="A164" s="21"/>
      <c r="B164" s="190" t="s">
        <v>155</v>
      </c>
      <c r="C164" s="275" t="s">
        <v>37</v>
      </c>
      <c r="D164" s="38"/>
      <c r="E164" s="296">
        <f>IF(E$162&lt;=インプット!$E75,-$D165*(1-インプット!$E74)/インプット!$E75,0)</f>
        <v>-78184488.901695341</v>
      </c>
      <c r="F164" s="296">
        <f>IF(F$162&lt;=インプット!$E75,-$D165*(1-インプット!$E74)/インプット!$E75,0)</f>
        <v>-78184488.901695341</v>
      </c>
      <c r="G164" s="296">
        <f>IF(G$162&lt;=インプット!$E75,-$D165*(1-インプット!$E74)/インプット!$E75,0)</f>
        <v>-78184488.901695341</v>
      </c>
      <c r="H164" s="296">
        <f>IF(H$162&lt;=インプット!$E75,-$D165*(1-インプット!$E74)/インプット!$E75,0)</f>
        <v>-78184488.901695341</v>
      </c>
      <c r="I164" s="296">
        <f>IF(I$162&lt;=インプット!$E75,-$D165*(1-インプット!$E74)/インプット!$E75,0)</f>
        <v>-78184488.901695341</v>
      </c>
      <c r="J164" s="296">
        <f>IF(J$162&lt;=インプット!$E75,-$D165*(1-インプット!$E74)/インプット!$E75,0)</f>
        <v>-78184488.901695341</v>
      </c>
      <c r="K164" s="296">
        <f>IF(K$162&lt;=インプット!$E75,-$D165*(1-インプット!$E74)/インプット!$E75,0)</f>
        <v>-78184488.901695341</v>
      </c>
      <c r="L164" s="296">
        <f>IF(L$162&lt;=インプット!$E75,-$D165*(1-インプット!$E74)/インプット!$E75,0)</f>
        <v>-78184488.901695341</v>
      </c>
      <c r="M164" s="296">
        <f>IF(M$162&lt;=インプット!$E75,-$D165*(1-インプット!$E74)/インプット!$E75,0)</f>
        <v>-78184488.901695341</v>
      </c>
      <c r="N164" s="296">
        <f>IF(N$162&lt;=インプット!$E75,-$D165*(1-インプット!$E74)/インプット!$E75,0)</f>
        <v>-78184488.901695341</v>
      </c>
      <c r="O164" s="296">
        <f>IF(O$162&lt;=インプット!$E75,-$D165*(1-インプット!$E74)/インプット!$E75,0)</f>
        <v>-78184488.901695341</v>
      </c>
      <c r="P164" s="296">
        <f>IF(P$162&lt;=インプット!$E75,-$D165*(1-インプット!$E74)/インプット!$E75,0)</f>
        <v>-78184488.901695341</v>
      </c>
      <c r="Q164" s="296">
        <f>IF(Q$162&lt;=インプット!$E75,-$D165*(1-インプット!$E74)/インプット!$E75,0)</f>
        <v>-78184488.901695341</v>
      </c>
      <c r="R164" s="296">
        <f>IF(R$162&lt;=インプット!$E75,-$D165*(1-インプット!$E74)/インプット!$E75,0)</f>
        <v>-78184488.901695341</v>
      </c>
      <c r="S164" s="296">
        <f>IF(S$162&lt;=インプット!$E75,-$D165*(1-インプット!$E74)/インプット!$E75,0)</f>
        <v>-78184488.901695341</v>
      </c>
      <c r="T164" s="296">
        <f>IF(T$162&lt;=インプット!$E75,-$D165*(1-インプット!$E74)/インプット!$E75,0)</f>
        <v>0</v>
      </c>
      <c r="U164" s="296">
        <f>IF(U$162&lt;=インプット!$E75,-$D165*(1-インプット!$E74)/インプット!$E75,0)</f>
        <v>0</v>
      </c>
      <c r="V164" s="296">
        <f>IF(V$162&lt;=インプット!$E75,-$D165*(1-インプット!$E74)/インプット!$E75,0)</f>
        <v>0</v>
      </c>
      <c r="W164" s="296">
        <f>IF(W$162&lt;=インプット!$E75,-$D165*(1-インプット!$E74)/インプット!$E75,0)</f>
        <v>0</v>
      </c>
      <c r="X164" s="296">
        <f>IF(X$162&lt;=インプット!$E75,-$D165*(1-インプット!$E74)/インプット!$E75,0)</f>
        <v>0</v>
      </c>
      <c r="Y164" s="296">
        <f>IF(Y$162&lt;=インプット!$E75,-$D165*(1-インプット!$E74)/インプット!$E75,0)</f>
        <v>0</v>
      </c>
      <c r="Z164" s="296">
        <f>IF(Z$162&lt;=インプット!$E75,-$D165*(1-インプット!$E74)/インプット!$E75,0)</f>
        <v>0</v>
      </c>
      <c r="AA164" s="296">
        <f>IF(AA$162&lt;=インプット!$E75,-$D165*(1-インプット!$E74)/インプット!$E75,0)</f>
        <v>0</v>
      </c>
      <c r="AB164" s="296">
        <f>IF(AB$162&lt;=インプット!$E75,-$D165*(1-インプット!$E74)/インプット!$E75,0)</f>
        <v>0</v>
      </c>
      <c r="AC164" s="296">
        <f>IF(AC$162&lt;=インプット!$E75,-$D165*(1-インプット!$E74)/インプット!$E75,0)</f>
        <v>0</v>
      </c>
      <c r="AD164" s="296">
        <f>IF(AD$162&lt;=インプット!$E75,-$D165*(1-インプット!$E74)/インプット!$E75,0)</f>
        <v>0</v>
      </c>
      <c r="AE164" s="296">
        <f>IF(AE$162&lt;=インプット!$E75,-$D165*(1-インプット!$E74)/インプット!$E75,0)</f>
        <v>0</v>
      </c>
      <c r="AF164" s="296">
        <f>IF(AF$162&lt;=インプット!$E75,-$D165*(1-インプット!$E74)/インプット!$E75,0)</f>
        <v>0</v>
      </c>
      <c r="AG164" s="296">
        <f>IF(AG$162&lt;=インプット!$E75,-$D165*(1-インプット!$E74)/インプット!$E75,0)</f>
        <v>0</v>
      </c>
      <c r="AH164" s="299">
        <f>IF(AH$162&lt;=インプット!$E75,-$D165*(1-インプット!$E74)/インプット!$E75,0)</f>
        <v>0</v>
      </c>
    </row>
    <row r="165" spans="1:34" x14ac:dyDescent="0.25">
      <c r="A165" s="21"/>
      <c r="B165" s="295" t="s">
        <v>156</v>
      </c>
      <c r="C165" s="308" t="s">
        <v>37</v>
      </c>
      <c r="D165" s="310">
        <f>インプット!E73</f>
        <v>1172767333.5254302</v>
      </c>
      <c r="E165" s="311">
        <f t="shared" ref="E165:AH165" si="75">D165+E164</f>
        <v>1094582844.623735</v>
      </c>
      <c r="F165" s="311">
        <f t="shared" si="75"/>
        <v>1016398355.7220396</v>
      </c>
      <c r="G165" s="311">
        <f t="shared" si="75"/>
        <v>938213866.82034421</v>
      </c>
      <c r="H165" s="311">
        <f t="shared" si="75"/>
        <v>860029377.91864884</v>
      </c>
      <c r="I165" s="311">
        <f t="shared" si="75"/>
        <v>781844889.01695347</v>
      </c>
      <c r="J165" s="311">
        <f t="shared" si="75"/>
        <v>703660400.1152581</v>
      </c>
      <c r="K165" s="311">
        <f t="shared" si="75"/>
        <v>625475911.21356273</v>
      </c>
      <c r="L165" s="311">
        <f t="shared" si="75"/>
        <v>547291422.31186736</v>
      </c>
      <c r="M165" s="311">
        <f t="shared" si="75"/>
        <v>469106933.41017199</v>
      </c>
      <c r="N165" s="311">
        <f t="shared" si="75"/>
        <v>390922444.50847661</v>
      </c>
      <c r="O165" s="311">
        <f t="shared" si="75"/>
        <v>312737955.60678124</v>
      </c>
      <c r="P165" s="311">
        <f t="shared" si="75"/>
        <v>234553466.7050859</v>
      </c>
      <c r="Q165" s="311">
        <f t="shared" si="75"/>
        <v>156368977.80339056</v>
      </c>
      <c r="R165" s="311">
        <f t="shared" si="75"/>
        <v>78184488.901695222</v>
      </c>
      <c r="S165" s="311">
        <f t="shared" si="75"/>
        <v>-1.1920928955078125E-7</v>
      </c>
      <c r="T165" s="311">
        <f t="shared" si="75"/>
        <v>-1.1920928955078125E-7</v>
      </c>
      <c r="U165" s="311">
        <f t="shared" si="75"/>
        <v>-1.1920928955078125E-7</v>
      </c>
      <c r="V165" s="311">
        <f t="shared" si="75"/>
        <v>-1.1920928955078125E-7</v>
      </c>
      <c r="W165" s="311">
        <f t="shared" si="75"/>
        <v>-1.1920928955078125E-7</v>
      </c>
      <c r="X165" s="311">
        <f t="shared" si="75"/>
        <v>-1.1920928955078125E-7</v>
      </c>
      <c r="Y165" s="311">
        <f t="shared" si="75"/>
        <v>-1.1920928955078125E-7</v>
      </c>
      <c r="Z165" s="311">
        <f t="shared" si="75"/>
        <v>-1.1920928955078125E-7</v>
      </c>
      <c r="AA165" s="311">
        <f t="shared" si="75"/>
        <v>-1.1920928955078125E-7</v>
      </c>
      <c r="AB165" s="311">
        <f t="shared" si="75"/>
        <v>-1.1920928955078125E-7</v>
      </c>
      <c r="AC165" s="311">
        <f t="shared" si="75"/>
        <v>-1.1920928955078125E-7</v>
      </c>
      <c r="AD165" s="311">
        <f t="shared" si="75"/>
        <v>-1.1920928955078125E-7</v>
      </c>
      <c r="AE165" s="311">
        <f t="shared" si="75"/>
        <v>-1.1920928955078125E-7</v>
      </c>
      <c r="AF165" s="311">
        <f t="shared" si="75"/>
        <v>-1.1920928955078125E-7</v>
      </c>
      <c r="AG165" s="311">
        <f t="shared" si="75"/>
        <v>-1.1920928955078125E-7</v>
      </c>
      <c r="AH165" s="312">
        <f t="shared" si="75"/>
        <v>-1.1920928955078125E-7</v>
      </c>
    </row>
    <row r="166" spans="1:34" x14ac:dyDescent="0.25">
      <c r="A166" s="21"/>
      <c r="B166" s="180" t="str">
        <f>インプット!B76</f>
        <v>工事費</v>
      </c>
      <c r="C166" s="181"/>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7"/>
    </row>
    <row r="167" spans="1:34" x14ac:dyDescent="0.25">
      <c r="A167" s="21"/>
      <c r="B167" s="190" t="s">
        <v>155</v>
      </c>
      <c r="C167" s="275" t="s">
        <v>37</v>
      </c>
      <c r="D167" s="38"/>
      <c r="E167" s="296">
        <f>IF(E$162&lt;=インプット!$E78,-$D168*(1-インプット!$E77)/インプット!$E78,0)</f>
        <v>-10287432.75022307</v>
      </c>
      <c r="F167" s="296">
        <f>IF(F$162&lt;=インプット!$E78,-$D168*(1-インプット!$E77)/インプット!$E78,0)</f>
        <v>-10287432.75022307</v>
      </c>
      <c r="G167" s="296">
        <f>IF(G$162&lt;=インプット!$E78,-$D168*(1-インプット!$E77)/インプット!$E78,0)</f>
        <v>-10287432.75022307</v>
      </c>
      <c r="H167" s="296">
        <f>IF(H$162&lt;=インプット!$E78,-$D168*(1-インプット!$E77)/インプット!$E78,0)</f>
        <v>-10287432.75022307</v>
      </c>
      <c r="I167" s="296">
        <f>IF(I$162&lt;=インプット!$E78,-$D168*(1-インプット!$E77)/インプット!$E78,0)</f>
        <v>-10287432.75022307</v>
      </c>
      <c r="J167" s="296">
        <f>IF(J$162&lt;=インプット!$E78,-$D168*(1-インプット!$E77)/インプット!$E78,0)</f>
        <v>-10287432.75022307</v>
      </c>
      <c r="K167" s="296">
        <f>IF(K$162&lt;=インプット!$E78,-$D168*(1-インプット!$E77)/インプット!$E78,0)</f>
        <v>-10287432.75022307</v>
      </c>
      <c r="L167" s="296">
        <f>IF(L$162&lt;=インプット!$E78,-$D168*(1-インプット!$E77)/インプット!$E78,0)</f>
        <v>-10287432.75022307</v>
      </c>
      <c r="M167" s="296">
        <f>IF(M$162&lt;=インプット!$E78,-$D168*(1-インプット!$E77)/インプット!$E78,0)</f>
        <v>-10287432.75022307</v>
      </c>
      <c r="N167" s="296">
        <f>IF(N$162&lt;=インプット!$E78,-$D168*(1-インプット!$E77)/インプット!$E78,0)</f>
        <v>-10287432.75022307</v>
      </c>
      <c r="O167" s="296">
        <f>IF(O$162&lt;=インプット!$E78,-$D168*(1-インプット!$E77)/インプット!$E78,0)</f>
        <v>-10287432.75022307</v>
      </c>
      <c r="P167" s="296">
        <f>IF(P$162&lt;=インプット!$E78,-$D168*(1-インプット!$E77)/インプット!$E78,0)</f>
        <v>-10287432.75022307</v>
      </c>
      <c r="Q167" s="296">
        <f>IF(Q$162&lt;=インプット!$E78,-$D168*(1-インプット!$E77)/インプット!$E78,0)</f>
        <v>-10287432.75022307</v>
      </c>
      <c r="R167" s="296">
        <f>IF(R$162&lt;=インプット!$E78,-$D168*(1-インプット!$E77)/インプット!$E78,0)</f>
        <v>-10287432.75022307</v>
      </c>
      <c r="S167" s="296">
        <f>IF(S$162&lt;=インプット!$E78,-$D168*(1-インプット!$E77)/インプット!$E78,0)</f>
        <v>-10287432.75022307</v>
      </c>
      <c r="T167" s="296">
        <f>IF(T$162&lt;=インプット!$E78,-$D168*(1-インプット!$E77)/インプット!$E78,0)</f>
        <v>-10287432.75022307</v>
      </c>
      <c r="U167" s="296">
        <f>IF(U$162&lt;=インプット!$E78,-$D168*(1-インプット!$E77)/インプット!$E78,0)</f>
        <v>-10287432.75022307</v>
      </c>
      <c r="V167" s="296">
        <f>IF(V$162&lt;=インプット!$E78,-$D168*(1-インプット!$E77)/インプット!$E78,0)</f>
        <v>-10287432.75022307</v>
      </c>
      <c r="W167" s="296">
        <f>IF(W$162&lt;=インプット!$E78,-$D168*(1-インプット!$E77)/インプット!$E78,0)</f>
        <v>-10287432.75022307</v>
      </c>
      <c r="X167" s="296">
        <f>IF(X$162&lt;=インプット!$E78,-$D168*(1-インプット!$E77)/インプット!$E78,0)</f>
        <v>-10287432.75022307</v>
      </c>
      <c r="Y167" s="296">
        <f>IF(Y$162&lt;=インプット!$E78,-$D168*(1-インプット!$E77)/インプット!$E78,0)</f>
        <v>-10287432.75022307</v>
      </c>
      <c r="Z167" s="296">
        <f>IF(Z$162&lt;=インプット!$E78,-$D168*(1-インプット!$E77)/インプット!$E78,0)</f>
        <v>-10287432.75022307</v>
      </c>
      <c r="AA167" s="296">
        <f>IF(AA$162&lt;=インプット!$E78,-$D168*(1-インプット!$E77)/インプット!$E78,0)</f>
        <v>-10287432.75022307</v>
      </c>
      <c r="AB167" s="296">
        <f>IF(AB$162&lt;=インプット!$E78,-$D168*(1-インプット!$E77)/インプット!$E78,0)</f>
        <v>-10287432.75022307</v>
      </c>
      <c r="AC167" s="296">
        <f>IF(AC$162&lt;=インプット!$E78,-$D168*(1-インプット!$E77)/インプット!$E78,0)</f>
        <v>-10287432.75022307</v>
      </c>
      <c r="AD167" s="296">
        <f>IF(AD$162&lt;=インプット!$E78,-$D168*(1-インプット!$E77)/インプット!$E78,0)</f>
        <v>-10287432.75022307</v>
      </c>
      <c r="AE167" s="296">
        <f>IF(AE$162&lt;=インプット!$E78,-$D168*(1-インプット!$E77)/インプット!$E78,0)</f>
        <v>-10287432.75022307</v>
      </c>
      <c r="AF167" s="296">
        <f>IF(AF$162&lt;=インプット!$E78,-$D168*(1-インプット!$E77)/インプット!$E78,0)</f>
        <v>-10287432.75022307</v>
      </c>
      <c r="AG167" s="296">
        <f>IF(AG$162&lt;=インプット!$E78,-$D168*(1-インプット!$E77)/インプット!$E78,0)</f>
        <v>-10287432.75022307</v>
      </c>
      <c r="AH167" s="299">
        <f>IF(AH$162&lt;=インプット!$E78,-$D168*(1-インプット!$E77)/インプット!$E78,0)</f>
        <v>-10287432.75022307</v>
      </c>
    </row>
    <row r="168" spans="1:34" x14ac:dyDescent="0.25">
      <c r="A168" s="21"/>
      <c r="B168" s="295" t="s">
        <v>156</v>
      </c>
      <c r="C168" s="308" t="s">
        <v>37</v>
      </c>
      <c r="D168" s="310">
        <f>インプット!E76</f>
        <v>390922444.50847667</v>
      </c>
      <c r="E168" s="311">
        <f t="shared" ref="E168:AH168" si="76">D168+E167</f>
        <v>380635011.75825357</v>
      </c>
      <c r="F168" s="311">
        <f t="shared" si="76"/>
        <v>370347579.00803053</v>
      </c>
      <c r="G168" s="311">
        <f t="shared" si="76"/>
        <v>360060146.25780749</v>
      </c>
      <c r="H168" s="311">
        <f t="shared" si="76"/>
        <v>349772713.50758445</v>
      </c>
      <c r="I168" s="311">
        <f t="shared" si="76"/>
        <v>339485280.75736141</v>
      </c>
      <c r="J168" s="311">
        <f t="shared" si="76"/>
        <v>329197848.00713837</v>
      </c>
      <c r="K168" s="311">
        <f t="shared" si="76"/>
        <v>318910415.25691533</v>
      </c>
      <c r="L168" s="311">
        <f t="shared" si="76"/>
        <v>308622982.50669229</v>
      </c>
      <c r="M168" s="311">
        <f t="shared" si="76"/>
        <v>298335549.75646925</v>
      </c>
      <c r="N168" s="311">
        <f t="shared" si="76"/>
        <v>288048117.00624621</v>
      </c>
      <c r="O168" s="311">
        <f t="shared" si="76"/>
        <v>277760684.25602317</v>
      </c>
      <c r="P168" s="311">
        <f t="shared" si="76"/>
        <v>267473251.5058001</v>
      </c>
      <c r="Q168" s="311">
        <f t="shared" si="76"/>
        <v>257185818.75557703</v>
      </c>
      <c r="R168" s="311">
        <f t="shared" si="76"/>
        <v>246898386.00535396</v>
      </c>
      <c r="S168" s="311">
        <f t="shared" si="76"/>
        <v>236610953.25513089</v>
      </c>
      <c r="T168" s="311">
        <f t="shared" si="76"/>
        <v>226323520.50490782</v>
      </c>
      <c r="U168" s="311">
        <f t="shared" si="76"/>
        <v>216036087.75468475</v>
      </c>
      <c r="V168" s="311">
        <f t="shared" si="76"/>
        <v>205748655.00446168</v>
      </c>
      <c r="W168" s="311">
        <f t="shared" si="76"/>
        <v>195461222.25423861</v>
      </c>
      <c r="X168" s="311">
        <f t="shared" si="76"/>
        <v>185173789.50401554</v>
      </c>
      <c r="Y168" s="311">
        <f t="shared" si="76"/>
        <v>174886356.75379246</v>
      </c>
      <c r="Z168" s="311">
        <f t="shared" si="76"/>
        <v>164598924.00356939</v>
      </c>
      <c r="AA168" s="311">
        <f t="shared" si="76"/>
        <v>154311491.25334632</v>
      </c>
      <c r="AB168" s="311">
        <f t="shared" si="76"/>
        <v>144024058.50312325</v>
      </c>
      <c r="AC168" s="311">
        <f t="shared" si="76"/>
        <v>133736625.75290018</v>
      </c>
      <c r="AD168" s="311">
        <f t="shared" si="76"/>
        <v>123449193.00267711</v>
      </c>
      <c r="AE168" s="311">
        <f t="shared" si="76"/>
        <v>113161760.25245404</v>
      </c>
      <c r="AF168" s="311">
        <f t="shared" si="76"/>
        <v>102874327.50223097</v>
      </c>
      <c r="AG168" s="311">
        <f t="shared" si="76"/>
        <v>92586894.752007902</v>
      </c>
      <c r="AH168" s="312">
        <f t="shared" si="76"/>
        <v>82299462.001784831</v>
      </c>
    </row>
    <row r="169" spans="1:34" x14ac:dyDescent="0.25">
      <c r="A169" s="21"/>
      <c r="B169" s="180">
        <f>インプット!B79</f>
        <v>0</v>
      </c>
      <c r="C169" s="181"/>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7"/>
    </row>
    <row r="170" spans="1:34" x14ac:dyDescent="0.25">
      <c r="A170" s="21"/>
      <c r="B170" s="190" t="s">
        <v>155</v>
      </c>
      <c r="C170" s="275" t="s">
        <v>37</v>
      </c>
      <c r="D170" s="38"/>
      <c r="E170" s="296">
        <f>IF(E$162&lt;=インプット!$E81,-$D171*(1-インプット!$E80)/インプット!$E81,0)</f>
        <v>0</v>
      </c>
      <c r="F170" s="296">
        <f>IF(F$162&lt;=インプット!$E81,-$D171*(1-インプット!$E80)/インプット!$E81,0)</f>
        <v>0</v>
      </c>
      <c r="G170" s="296">
        <f>IF(G$162&lt;=インプット!$E81,-$D171*(1-インプット!$E80)/インプット!$E81,0)</f>
        <v>0</v>
      </c>
      <c r="H170" s="296">
        <f>IF(H$162&lt;=インプット!$E81,-$D171*(1-インプット!$E80)/インプット!$E81,0)</f>
        <v>0</v>
      </c>
      <c r="I170" s="296">
        <f>IF(I$162&lt;=インプット!$E81,-$D171*(1-インプット!$E80)/インプット!$E81,0)</f>
        <v>0</v>
      </c>
      <c r="J170" s="296">
        <f>IF(J$162&lt;=インプット!$E81,-$D171*(1-インプット!$E80)/インプット!$E81,0)</f>
        <v>0</v>
      </c>
      <c r="K170" s="296">
        <f>IF(K$162&lt;=インプット!$E81,-$D171*(1-インプット!$E80)/インプット!$E81,0)</f>
        <v>0</v>
      </c>
      <c r="L170" s="296">
        <f>IF(L$162&lt;=インプット!$E81,-$D171*(1-インプット!$E80)/インプット!$E81,0)</f>
        <v>0</v>
      </c>
      <c r="M170" s="296">
        <f>IF(M$162&lt;=インプット!$E81,-$D171*(1-インプット!$E80)/インプット!$E81,0)</f>
        <v>0</v>
      </c>
      <c r="N170" s="296">
        <f>IF(N$162&lt;=インプット!$E81,-$D171*(1-インプット!$E80)/インプット!$E81,0)</f>
        <v>0</v>
      </c>
      <c r="O170" s="296">
        <f>IF(O$162&lt;=インプット!$E81,-$D171*(1-インプット!$E80)/インプット!$E81,0)</f>
        <v>0</v>
      </c>
      <c r="P170" s="296">
        <f>IF(P$162&lt;=インプット!$E81,-$D171*(1-インプット!$E80)/インプット!$E81,0)</f>
        <v>0</v>
      </c>
      <c r="Q170" s="296">
        <f>IF(Q$162&lt;=インプット!$E81,-$D171*(1-インプット!$E80)/インプット!$E81,0)</f>
        <v>0</v>
      </c>
      <c r="R170" s="296">
        <f>IF(R$162&lt;=インプット!$E81,-$D171*(1-インプット!$E80)/インプット!$E81,0)</f>
        <v>0</v>
      </c>
      <c r="S170" s="296">
        <f>IF(S$162&lt;=インプット!$E81,-$D171*(1-インプット!$E80)/インプット!$E81,0)</f>
        <v>0</v>
      </c>
      <c r="T170" s="296">
        <f>IF(T$162&lt;=インプット!$E81,-$D171*(1-インプット!$E80)/インプット!$E81,0)</f>
        <v>0</v>
      </c>
      <c r="U170" s="296">
        <f>IF(U$162&lt;=インプット!$E81,-$D171*(1-インプット!$E80)/インプット!$E81,0)</f>
        <v>0</v>
      </c>
      <c r="V170" s="296">
        <f>IF(V$162&lt;=インプット!$E81,-$D171*(1-インプット!$E80)/インプット!$E81,0)</f>
        <v>0</v>
      </c>
      <c r="W170" s="296">
        <f>IF(W$162&lt;=インプット!$E81,-$D171*(1-インプット!$E80)/インプット!$E81,0)</f>
        <v>0</v>
      </c>
      <c r="X170" s="296">
        <f>IF(X$162&lt;=インプット!$E81,-$D171*(1-インプット!$E80)/インプット!$E81,0)</f>
        <v>0</v>
      </c>
      <c r="Y170" s="296">
        <f>IF(Y$162&lt;=インプット!$E81,-$D171*(1-インプット!$E80)/インプット!$E81,0)</f>
        <v>0</v>
      </c>
      <c r="Z170" s="296">
        <f>IF(Z$162&lt;=インプット!$E81,-$D171*(1-インプット!$E80)/インプット!$E81,0)</f>
        <v>0</v>
      </c>
      <c r="AA170" s="296">
        <f>IF(AA$162&lt;=インプット!$E81,-$D171*(1-インプット!$E80)/インプット!$E81,0)</f>
        <v>0</v>
      </c>
      <c r="AB170" s="296">
        <f>IF(AB$162&lt;=インプット!$E81,-$D171*(1-インプット!$E80)/インプット!$E81,0)</f>
        <v>0</v>
      </c>
      <c r="AC170" s="296">
        <f>IF(AC$162&lt;=インプット!$E81,-$D171*(1-インプット!$E80)/インプット!$E81,0)</f>
        <v>0</v>
      </c>
      <c r="AD170" s="296">
        <f>IF(AD$162&lt;=インプット!$E81,-$D171*(1-インプット!$E80)/インプット!$E81,0)</f>
        <v>0</v>
      </c>
      <c r="AE170" s="296">
        <f>IF(AE$162&lt;=インプット!$E81,-$D171*(1-インプット!$E80)/インプット!$E81,0)</f>
        <v>0</v>
      </c>
      <c r="AF170" s="296">
        <f>IF(AF$162&lt;=インプット!$E81,-$D171*(1-インプット!$E80)/インプット!$E81,0)</f>
        <v>0</v>
      </c>
      <c r="AG170" s="296">
        <f>IF(AG$162&lt;=インプット!$E81,-$D171*(1-インプット!$E80)/インプット!$E81,0)</f>
        <v>0</v>
      </c>
      <c r="AH170" s="299">
        <f>IF(AH$162&lt;=インプット!$E81,-$D171*(1-インプット!$E80)/インプット!$E81,0)</f>
        <v>0</v>
      </c>
    </row>
    <row r="171" spans="1:34" x14ac:dyDescent="0.25">
      <c r="A171" s="21"/>
      <c r="B171" s="295" t="s">
        <v>156</v>
      </c>
      <c r="C171" s="308" t="s">
        <v>37</v>
      </c>
      <c r="D171" s="310">
        <f>インプット!E79</f>
        <v>0</v>
      </c>
      <c r="E171" s="311">
        <f t="shared" ref="E171:AH171" si="77">D171+E170</f>
        <v>0</v>
      </c>
      <c r="F171" s="311">
        <f t="shared" si="77"/>
        <v>0</v>
      </c>
      <c r="G171" s="311">
        <f t="shared" si="77"/>
        <v>0</v>
      </c>
      <c r="H171" s="311">
        <f t="shared" si="77"/>
        <v>0</v>
      </c>
      <c r="I171" s="311">
        <f t="shared" si="77"/>
        <v>0</v>
      </c>
      <c r="J171" s="311">
        <f t="shared" si="77"/>
        <v>0</v>
      </c>
      <c r="K171" s="311">
        <f t="shared" si="77"/>
        <v>0</v>
      </c>
      <c r="L171" s="311">
        <f t="shared" si="77"/>
        <v>0</v>
      </c>
      <c r="M171" s="311">
        <f t="shared" si="77"/>
        <v>0</v>
      </c>
      <c r="N171" s="311">
        <f t="shared" si="77"/>
        <v>0</v>
      </c>
      <c r="O171" s="311">
        <f t="shared" si="77"/>
        <v>0</v>
      </c>
      <c r="P171" s="311">
        <f t="shared" si="77"/>
        <v>0</v>
      </c>
      <c r="Q171" s="311">
        <f t="shared" si="77"/>
        <v>0</v>
      </c>
      <c r="R171" s="311">
        <f t="shared" si="77"/>
        <v>0</v>
      </c>
      <c r="S171" s="311">
        <f t="shared" si="77"/>
        <v>0</v>
      </c>
      <c r="T171" s="311">
        <f t="shared" si="77"/>
        <v>0</v>
      </c>
      <c r="U171" s="311">
        <f t="shared" si="77"/>
        <v>0</v>
      </c>
      <c r="V171" s="311">
        <f t="shared" si="77"/>
        <v>0</v>
      </c>
      <c r="W171" s="311">
        <f t="shared" si="77"/>
        <v>0</v>
      </c>
      <c r="X171" s="311">
        <f t="shared" si="77"/>
        <v>0</v>
      </c>
      <c r="Y171" s="311">
        <f t="shared" si="77"/>
        <v>0</v>
      </c>
      <c r="Z171" s="311">
        <f t="shared" si="77"/>
        <v>0</v>
      </c>
      <c r="AA171" s="311">
        <f t="shared" si="77"/>
        <v>0</v>
      </c>
      <c r="AB171" s="311">
        <f t="shared" si="77"/>
        <v>0</v>
      </c>
      <c r="AC171" s="311">
        <f t="shared" si="77"/>
        <v>0</v>
      </c>
      <c r="AD171" s="311">
        <f t="shared" si="77"/>
        <v>0</v>
      </c>
      <c r="AE171" s="311">
        <f t="shared" si="77"/>
        <v>0</v>
      </c>
      <c r="AF171" s="311">
        <f t="shared" si="77"/>
        <v>0</v>
      </c>
      <c r="AG171" s="311">
        <f t="shared" si="77"/>
        <v>0</v>
      </c>
      <c r="AH171" s="312">
        <f t="shared" si="77"/>
        <v>0</v>
      </c>
    </row>
    <row r="172" spans="1:34" x14ac:dyDescent="0.25">
      <c r="A172" s="21"/>
      <c r="B172" s="180" t="str">
        <f>インプット!B82</f>
        <v>＜設備費目を入力＞</v>
      </c>
      <c r="C172" s="181"/>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7"/>
    </row>
    <row r="173" spans="1:34" x14ac:dyDescent="0.25">
      <c r="A173" s="21"/>
      <c r="B173" s="190" t="s">
        <v>155</v>
      </c>
      <c r="C173" s="275" t="s">
        <v>37</v>
      </c>
      <c r="D173" s="38"/>
      <c r="E173" s="296">
        <f>IF(E$162&lt;=インプット!$E84,-$D174*(1-インプット!$E83)/インプット!$E84,0)</f>
        <v>0</v>
      </c>
      <c r="F173" s="296">
        <f>IF(F$162&lt;=インプット!$E84,-$D174*(1-インプット!$E83)/インプット!$E84,0)</f>
        <v>0</v>
      </c>
      <c r="G173" s="296">
        <f>IF(G$162&lt;=インプット!$E84,-$D174*(1-インプット!$E83)/インプット!$E84,0)</f>
        <v>0</v>
      </c>
      <c r="H173" s="296">
        <f>IF(H$162&lt;=インプット!$E84,-$D174*(1-インプット!$E83)/インプット!$E84,0)</f>
        <v>0</v>
      </c>
      <c r="I173" s="296">
        <f>IF(I$162&lt;=インプット!$E84,-$D174*(1-インプット!$E83)/インプット!$E84,0)</f>
        <v>0</v>
      </c>
      <c r="J173" s="296">
        <f>IF(J$162&lt;=インプット!$E84,-$D174*(1-インプット!$E83)/インプット!$E84,0)</f>
        <v>0</v>
      </c>
      <c r="K173" s="296">
        <f>IF(K$162&lt;=インプット!$E84,-$D174*(1-インプット!$E83)/インプット!$E84,0)</f>
        <v>0</v>
      </c>
      <c r="L173" s="296">
        <f>IF(L$162&lt;=インプット!$E84,-$D174*(1-インプット!$E83)/インプット!$E84,0)</f>
        <v>0</v>
      </c>
      <c r="M173" s="296">
        <f>IF(M$162&lt;=インプット!$E84,-$D174*(1-インプット!$E83)/インプット!$E84,0)</f>
        <v>0</v>
      </c>
      <c r="N173" s="296">
        <f>IF(N$162&lt;=インプット!$E84,-$D174*(1-インプット!$E83)/インプット!$E84,0)</f>
        <v>0</v>
      </c>
      <c r="O173" s="296">
        <f>IF(O$162&lt;=インプット!$E84,-$D174*(1-インプット!$E83)/インプット!$E84,0)</f>
        <v>0</v>
      </c>
      <c r="P173" s="296">
        <f>IF(P$162&lt;=インプット!$E84,-$D174*(1-インプット!$E83)/インプット!$E84,0)</f>
        <v>0</v>
      </c>
      <c r="Q173" s="296">
        <f>IF(Q$162&lt;=インプット!$E84,-$D174*(1-インプット!$E83)/インプット!$E84,0)</f>
        <v>0</v>
      </c>
      <c r="R173" s="296">
        <f>IF(R$162&lt;=インプット!$E84,-$D174*(1-インプット!$E83)/インプット!$E84,0)</f>
        <v>0</v>
      </c>
      <c r="S173" s="296">
        <f>IF(S$162&lt;=インプット!$E84,-$D174*(1-インプット!$E83)/インプット!$E84,0)</f>
        <v>0</v>
      </c>
      <c r="T173" s="296">
        <f>IF(T$162&lt;=インプット!$E84,-$D174*(1-インプット!$E83)/インプット!$E84,0)</f>
        <v>0</v>
      </c>
      <c r="U173" s="296">
        <f>IF(U$162&lt;=インプット!$E84,-$D174*(1-インプット!$E83)/インプット!$E84,0)</f>
        <v>0</v>
      </c>
      <c r="V173" s="296">
        <f>IF(V$162&lt;=インプット!$E84,-$D174*(1-インプット!$E83)/インプット!$E84,0)</f>
        <v>0</v>
      </c>
      <c r="W173" s="296">
        <f>IF(W$162&lt;=インプット!$E84,-$D174*(1-インプット!$E83)/インプット!$E84,0)</f>
        <v>0</v>
      </c>
      <c r="X173" s="296">
        <f>IF(X$162&lt;=インプット!$E84,-$D174*(1-インプット!$E83)/インプット!$E84,0)</f>
        <v>0</v>
      </c>
      <c r="Y173" s="296">
        <f>IF(Y$162&lt;=インプット!$E84,-$D174*(1-インプット!$E83)/インプット!$E84,0)</f>
        <v>0</v>
      </c>
      <c r="Z173" s="296">
        <f>IF(Z$162&lt;=インプット!$E84,-$D174*(1-インプット!$E83)/インプット!$E84,0)</f>
        <v>0</v>
      </c>
      <c r="AA173" s="296">
        <f>IF(AA$162&lt;=インプット!$E84,-$D174*(1-インプット!$E83)/インプット!$E84,0)</f>
        <v>0</v>
      </c>
      <c r="AB173" s="296">
        <f>IF(AB$162&lt;=インプット!$E84,-$D174*(1-インプット!$E83)/インプット!$E84,0)</f>
        <v>0</v>
      </c>
      <c r="AC173" s="296">
        <f>IF(AC$162&lt;=インプット!$E84,-$D174*(1-インプット!$E83)/インプット!$E84,0)</f>
        <v>0</v>
      </c>
      <c r="AD173" s="296">
        <f>IF(AD$162&lt;=インプット!$E84,-$D174*(1-インプット!$E83)/インプット!$E84,0)</f>
        <v>0</v>
      </c>
      <c r="AE173" s="296">
        <f>IF(AE$162&lt;=インプット!$E84,-$D174*(1-インプット!$E83)/インプット!$E84,0)</f>
        <v>0</v>
      </c>
      <c r="AF173" s="296">
        <f>IF(AF$162&lt;=インプット!$E84,-$D174*(1-インプット!$E83)/インプット!$E84,0)</f>
        <v>0</v>
      </c>
      <c r="AG173" s="296">
        <f>IF(AG$162&lt;=インプット!$E84,-$D174*(1-インプット!$E83)/インプット!$E84,0)</f>
        <v>0</v>
      </c>
      <c r="AH173" s="299">
        <f>IF(AH$162&lt;=インプット!$E84,-$D174*(1-インプット!$E83)/インプット!$E84,0)</f>
        <v>0</v>
      </c>
    </row>
    <row r="174" spans="1:34" x14ac:dyDescent="0.25">
      <c r="A174" s="21"/>
      <c r="B174" s="295" t="s">
        <v>156</v>
      </c>
      <c r="C174" s="308" t="s">
        <v>37</v>
      </c>
      <c r="D174" s="310">
        <f>インプット!E82</f>
        <v>0</v>
      </c>
      <c r="E174" s="311">
        <f t="shared" ref="E174:AH174" si="78">D174+E173</f>
        <v>0</v>
      </c>
      <c r="F174" s="311">
        <f t="shared" si="78"/>
        <v>0</v>
      </c>
      <c r="G174" s="311">
        <f t="shared" si="78"/>
        <v>0</v>
      </c>
      <c r="H174" s="311">
        <f t="shared" si="78"/>
        <v>0</v>
      </c>
      <c r="I174" s="311">
        <f t="shared" si="78"/>
        <v>0</v>
      </c>
      <c r="J174" s="311">
        <f t="shared" si="78"/>
        <v>0</v>
      </c>
      <c r="K174" s="311">
        <f t="shared" si="78"/>
        <v>0</v>
      </c>
      <c r="L174" s="311">
        <f t="shared" si="78"/>
        <v>0</v>
      </c>
      <c r="M174" s="311">
        <f t="shared" si="78"/>
        <v>0</v>
      </c>
      <c r="N174" s="311">
        <f t="shared" si="78"/>
        <v>0</v>
      </c>
      <c r="O174" s="311">
        <f t="shared" si="78"/>
        <v>0</v>
      </c>
      <c r="P174" s="311">
        <f t="shared" si="78"/>
        <v>0</v>
      </c>
      <c r="Q174" s="311">
        <f t="shared" si="78"/>
        <v>0</v>
      </c>
      <c r="R174" s="311">
        <f t="shared" si="78"/>
        <v>0</v>
      </c>
      <c r="S174" s="311">
        <f t="shared" si="78"/>
        <v>0</v>
      </c>
      <c r="T174" s="311">
        <f t="shared" si="78"/>
        <v>0</v>
      </c>
      <c r="U174" s="311">
        <f t="shared" si="78"/>
        <v>0</v>
      </c>
      <c r="V174" s="311">
        <f t="shared" si="78"/>
        <v>0</v>
      </c>
      <c r="W174" s="311">
        <f t="shared" si="78"/>
        <v>0</v>
      </c>
      <c r="X174" s="311">
        <f t="shared" si="78"/>
        <v>0</v>
      </c>
      <c r="Y174" s="311">
        <f t="shared" si="78"/>
        <v>0</v>
      </c>
      <c r="Z174" s="311">
        <f t="shared" si="78"/>
        <v>0</v>
      </c>
      <c r="AA174" s="311">
        <f t="shared" si="78"/>
        <v>0</v>
      </c>
      <c r="AB174" s="311">
        <f t="shared" si="78"/>
        <v>0</v>
      </c>
      <c r="AC174" s="311">
        <f t="shared" si="78"/>
        <v>0</v>
      </c>
      <c r="AD174" s="311">
        <f t="shared" si="78"/>
        <v>0</v>
      </c>
      <c r="AE174" s="311">
        <f t="shared" si="78"/>
        <v>0</v>
      </c>
      <c r="AF174" s="311">
        <f t="shared" si="78"/>
        <v>0</v>
      </c>
      <c r="AG174" s="311">
        <f t="shared" si="78"/>
        <v>0</v>
      </c>
      <c r="AH174" s="312">
        <f t="shared" si="78"/>
        <v>0</v>
      </c>
    </row>
    <row r="175" spans="1:34" x14ac:dyDescent="0.25">
      <c r="A175" s="21"/>
      <c r="B175" s="180" t="str">
        <f>インプット!B85</f>
        <v>＜設備費目を入力＞</v>
      </c>
      <c r="C175" s="181"/>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7"/>
    </row>
    <row r="176" spans="1:34" x14ac:dyDescent="0.25">
      <c r="A176" s="21"/>
      <c r="B176" s="190" t="s">
        <v>155</v>
      </c>
      <c r="C176" s="275" t="s">
        <v>37</v>
      </c>
      <c r="D176" s="38"/>
      <c r="E176" s="296">
        <f>IF(E$162&lt;=インプット!$E87,-$D177*(1-インプット!$E86)/インプット!$E87,0)</f>
        <v>0</v>
      </c>
      <c r="F176" s="296">
        <f>IF(F$162&lt;=インプット!$E87,-$D177*(1-インプット!$E86)/インプット!$E87,0)</f>
        <v>0</v>
      </c>
      <c r="G176" s="296">
        <f>IF(G$162&lt;=インプット!$E87,-$D177*(1-インプット!$E86)/インプット!$E87,0)</f>
        <v>0</v>
      </c>
      <c r="H176" s="296">
        <f>IF(H$162&lt;=インプット!$E87,-$D177*(1-インプット!$E86)/インプット!$E87,0)</f>
        <v>0</v>
      </c>
      <c r="I176" s="296">
        <f>IF(I$162&lt;=インプット!$E87,-$D177*(1-インプット!$E86)/インプット!$E87,0)</f>
        <v>0</v>
      </c>
      <c r="J176" s="296">
        <f>IF(J$162&lt;=インプット!$E87,-$D177*(1-インプット!$E86)/インプット!$E87,0)</f>
        <v>0</v>
      </c>
      <c r="K176" s="296">
        <f>IF(K$162&lt;=インプット!$E87,-$D177*(1-インプット!$E86)/インプット!$E87,0)</f>
        <v>0</v>
      </c>
      <c r="L176" s="296">
        <f>IF(L$162&lt;=インプット!$E87,-$D177*(1-インプット!$E86)/インプット!$E87,0)</f>
        <v>0</v>
      </c>
      <c r="M176" s="296">
        <f>IF(M$162&lt;=インプット!$E87,-$D177*(1-インプット!$E86)/インプット!$E87,0)</f>
        <v>0</v>
      </c>
      <c r="N176" s="296">
        <f>IF(N$162&lt;=インプット!$E87,-$D177*(1-インプット!$E86)/インプット!$E87,0)</f>
        <v>0</v>
      </c>
      <c r="O176" s="296">
        <f>IF(O$162&lt;=インプット!$E87,-$D177*(1-インプット!$E86)/インプット!$E87,0)</f>
        <v>0</v>
      </c>
      <c r="P176" s="296">
        <f>IF(P$162&lt;=インプット!$E87,-$D177*(1-インプット!$E86)/インプット!$E87,0)</f>
        <v>0</v>
      </c>
      <c r="Q176" s="296">
        <f>IF(Q$162&lt;=インプット!$E87,-$D177*(1-インプット!$E86)/インプット!$E87,0)</f>
        <v>0</v>
      </c>
      <c r="R176" s="296">
        <f>IF(R$162&lt;=インプット!$E87,-$D177*(1-インプット!$E86)/インプット!$E87,0)</f>
        <v>0</v>
      </c>
      <c r="S176" s="296">
        <f>IF(S$162&lt;=インプット!$E87,-$D177*(1-インプット!$E86)/インプット!$E87,0)</f>
        <v>0</v>
      </c>
      <c r="T176" s="296">
        <f>IF(T$162&lt;=インプット!$E87,-$D177*(1-インプット!$E86)/インプット!$E87,0)</f>
        <v>0</v>
      </c>
      <c r="U176" s="296">
        <f>IF(U$162&lt;=インプット!$E87,-$D177*(1-インプット!$E86)/インプット!$E87,0)</f>
        <v>0</v>
      </c>
      <c r="V176" s="296">
        <f>IF(V$162&lt;=インプット!$E87,-$D177*(1-インプット!$E86)/インプット!$E87,0)</f>
        <v>0</v>
      </c>
      <c r="W176" s="296">
        <f>IF(W$162&lt;=インプット!$E87,-$D177*(1-インプット!$E86)/インプット!$E87,0)</f>
        <v>0</v>
      </c>
      <c r="X176" s="296">
        <f>IF(X$162&lt;=インプット!$E87,-$D177*(1-インプット!$E86)/インプット!$E87,0)</f>
        <v>0</v>
      </c>
      <c r="Y176" s="296">
        <f>IF(Y$162&lt;=インプット!$E87,-$D177*(1-インプット!$E86)/インプット!$E87,0)</f>
        <v>0</v>
      </c>
      <c r="Z176" s="296">
        <f>IF(Z$162&lt;=インプット!$E87,-$D177*(1-インプット!$E86)/インプット!$E87,0)</f>
        <v>0</v>
      </c>
      <c r="AA176" s="296">
        <f>IF(AA$162&lt;=インプット!$E87,-$D177*(1-インプット!$E86)/インプット!$E87,0)</f>
        <v>0</v>
      </c>
      <c r="AB176" s="296">
        <f>IF(AB$162&lt;=インプット!$E87,-$D177*(1-インプット!$E86)/インプット!$E87,0)</f>
        <v>0</v>
      </c>
      <c r="AC176" s="296">
        <f>IF(AC$162&lt;=インプット!$E87,-$D177*(1-インプット!$E86)/インプット!$E87,0)</f>
        <v>0</v>
      </c>
      <c r="AD176" s="296">
        <f>IF(AD$162&lt;=インプット!$E87,-$D177*(1-インプット!$E86)/インプット!$E87,0)</f>
        <v>0</v>
      </c>
      <c r="AE176" s="296">
        <f>IF(AE$162&lt;=インプット!$E87,-$D177*(1-インプット!$E86)/インプット!$E87,0)</f>
        <v>0</v>
      </c>
      <c r="AF176" s="296">
        <f>IF(AF$162&lt;=インプット!$E87,-$D177*(1-インプット!$E86)/インプット!$E87,0)</f>
        <v>0</v>
      </c>
      <c r="AG176" s="296">
        <f>IF(AG$162&lt;=インプット!$E87,-$D177*(1-インプット!$E86)/インプット!$E87,0)</f>
        <v>0</v>
      </c>
      <c r="AH176" s="299">
        <f>IF(AH$162&lt;=インプット!$E87,-$D177*(1-インプット!$E86)/インプット!$E87,0)</f>
        <v>0</v>
      </c>
    </row>
    <row r="177" spans="1:35" x14ac:dyDescent="0.25">
      <c r="A177" s="21"/>
      <c r="B177" s="295" t="s">
        <v>156</v>
      </c>
      <c r="C177" s="308" t="s">
        <v>37</v>
      </c>
      <c r="D177" s="310">
        <f>インプット!E85</f>
        <v>0</v>
      </c>
      <c r="E177" s="311">
        <f t="shared" ref="E177:AH177" si="79">D177+E176</f>
        <v>0</v>
      </c>
      <c r="F177" s="311">
        <f t="shared" si="79"/>
        <v>0</v>
      </c>
      <c r="G177" s="311">
        <f t="shared" si="79"/>
        <v>0</v>
      </c>
      <c r="H177" s="311">
        <f t="shared" si="79"/>
        <v>0</v>
      </c>
      <c r="I177" s="311">
        <f t="shared" si="79"/>
        <v>0</v>
      </c>
      <c r="J177" s="311">
        <f t="shared" si="79"/>
        <v>0</v>
      </c>
      <c r="K177" s="311">
        <f t="shared" si="79"/>
        <v>0</v>
      </c>
      <c r="L177" s="311">
        <f t="shared" si="79"/>
        <v>0</v>
      </c>
      <c r="M177" s="311">
        <f t="shared" si="79"/>
        <v>0</v>
      </c>
      <c r="N177" s="311">
        <f t="shared" si="79"/>
        <v>0</v>
      </c>
      <c r="O177" s="311">
        <f t="shared" si="79"/>
        <v>0</v>
      </c>
      <c r="P177" s="311">
        <f t="shared" si="79"/>
        <v>0</v>
      </c>
      <c r="Q177" s="311">
        <f t="shared" si="79"/>
        <v>0</v>
      </c>
      <c r="R177" s="311">
        <f t="shared" si="79"/>
        <v>0</v>
      </c>
      <c r="S177" s="311">
        <f t="shared" si="79"/>
        <v>0</v>
      </c>
      <c r="T177" s="311">
        <f t="shared" si="79"/>
        <v>0</v>
      </c>
      <c r="U177" s="311">
        <f t="shared" si="79"/>
        <v>0</v>
      </c>
      <c r="V177" s="311">
        <f t="shared" si="79"/>
        <v>0</v>
      </c>
      <c r="W177" s="311">
        <f t="shared" si="79"/>
        <v>0</v>
      </c>
      <c r="X177" s="311">
        <f t="shared" si="79"/>
        <v>0</v>
      </c>
      <c r="Y177" s="311">
        <f t="shared" si="79"/>
        <v>0</v>
      </c>
      <c r="Z177" s="311">
        <f t="shared" si="79"/>
        <v>0</v>
      </c>
      <c r="AA177" s="311">
        <f t="shared" si="79"/>
        <v>0</v>
      </c>
      <c r="AB177" s="311">
        <f t="shared" si="79"/>
        <v>0</v>
      </c>
      <c r="AC177" s="311">
        <f t="shared" si="79"/>
        <v>0</v>
      </c>
      <c r="AD177" s="311">
        <f t="shared" si="79"/>
        <v>0</v>
      </c>
      <c r="AE177" s="311">
        <f t="shared" si="79"/>
        <v>0</v>
      </c>
      <c r="AF177" s="311">
        <f t="shared" si="79"/>
        <v>0</v>
      </c>
      <c r="AG177" s="311">
        <f t="shared" si="79"/>
        <v>0</v>
      </c>
      <c r="AH177" s="312">
        <f t="shared" si="79"/>
        <v>0</v>
      </c>
    </row>
    <row r="178" spans="1:35" x14ac:dyDescent="0.25">
      <c r="A178" s="21"/>
      <c r="B178" s="180" t="str">
        <f>インプット!B88</f>
        <v>＜設備費目を入力＞</v>
      </c>
      <c r="C178" s="181"/>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7"/>
    </row>
    <row r="179" spans="1:35" x14ac:dyDescent="0.25">
      <c r="A179" s="21"/>
      <c r="B179" s="190" t="s">
        <v>155</v>
      </c>
      <c r="C179" s="275" t="s">
        <v>37</v>
      </c>
      <c r="D179" s="38"/>
      <c r="E179" s="296">
        <f>IF(E$162&lt;=インプット!$E90,-$D180*(1-インプット!$E89)/インプット!$E90,0)</f>
        <v>0</v>
      </c>
      <c r="F179" s="296">
        <f>IF(F$162&lt;=インプット!$E90,-$D180*(1-インプット!$E89)/インプット!$E90,0)</f>
        <v>0</v>
      </c>
      <c r="G179" s="296">
        <f>IF(G$162&lt;=インプット!$E90,-$D180*(1-インプット!$E89)/インプット!$E90,0)</f>
        <v>0</v>
      </c>
      <c r="H179" s="296">
        <f>IF(H$162&lt;=インプット!$E90,-$D180*(1-インプット!$E89)/インプット!$E90,0)</f>
        <v>0</v>
      </c>
      <c r="I179" s="296">
        <f>IF(I$162&lt;=インプット!$E90,-$D180*(1-インプット!$E89)/インプット!$E90,0)</f>
        <v>0</v>
      </c>
      <c r="J179" s="296">
        <f>IF(J$162&lt;=インプット!$E90,-$D180*(1-インプット!$E89)/インプット!$E90,0)</f>
        <v>0</v>
      </c>
      <c r="K179" s="296">
        <f>IF(K$162&lt;=インプット!$E90,-$D180*(1-インプット!$E89)/インプット!$E90,0)</f>
        <v>0</v>
      </c>
      <c r="L179" s="296">
        <f>IF(L$162&lt;=インプット!$E90,-$D180*(1-インプット!$E89)/インプット!$E90,0)</f>
        <v>0</v>
      </c>
      <c r="M179" s="296">
        <f>IF(M$162&lt;=インプット!$E90,-$D180*(1-インプット!$E89)/インプット!$E90,0)</f>
        <v>0</v>
      </c>
      <c r="N179" s="296">
        <f>IF(N$162&lt;=インプット!$E90,-$D180*(1-インプット!$E89)/インプット!$E90,0)</f>
        <v>0</v>
      </c>
      <c r="O179" s="296">
        <f>IF(O$162&lt;=インプット!$E90,-$D180*(1-インプット!$E89)/インプット!$E90,0)</f>
        <v>0</v>
      </c>
      <c r="P179" s="296">
        <f>IF(P$162&lt;=インプット!$E90,-$D180*(1-インプット!$E89)/インプット!$E90,0)</f>
        <v>0</v>
      </c>
      <c r="Q179" s="296">
        <f>IF(Q$162&lt;=インプット!$E90,-$D180*(1-インプット!$E89)/インプット!$E90,0)</f>
        <v>0</v>
      </c>
      <c r="R179" s="296">
        <f>IF(R$162&lt;=インプット!$E90,-$D180*(1-インプット!$E89)/インプット!$E90,0)</f>
        <v>0</v>
      </c>
      <c r="S179" s="296">
        <f>IF(S$162&lt;=インプット!$E90,-$D180*(1-インプット!$E89)/インプット!$E90,0)</f>
        <v>0</v>
      </c>
      <c r="T179" s="296">
        <f>IF(T$162&lt;=インプット!$E90,-$D180*(1-インプット!$E89)/インプット!$E90,0)</f>
        <v>0</v>
      </c>
      <c r="U179" s="296">
        <f>IF(U$162&lt;=インプット!$E90,-$D180*(1-インプット!$E89)/インプット!$E90,0)</f>
        <v>0</v>
      </c>
      <c r="V179" s="296">
        <f>IF(V$162&lt;=インプット!$E90,-$D180*(1-インプット!$E89)/インプット!$E90,0)</f>
        <v>0</v>
      </c>
      <c r="W179" s="296">
        <f>IF(W$162&lt;=インプット!$E90,-$D180*(1-インプット!$E89)/インプット!$E90,0)</f>
        <v>0</v>
      </c>
      <c r="X179" s="296">
        <f>IF(X$162&lt;=インプット!$E90,-$D180*(1-インプット!$E89)/インプット!$E90,0)</f>
        <v>0</v>
      </c>
      <c r="Y179" s="296">
        <f>IF(Y$162&lt;=インプット!$E90,-$D180*(1-インプット!$E89)/インプット!$E90,0)</f>
        <v>0</v>
      </c>
      <c r="Z179" s="296">
        <f>IF(Z$162&lt;=インプット!$E90,-$D180*(1-インプット!$E89)/インプット!$E90,0)</f>
        <v>0</v>
      </c>
      <c r="AA179" s="296">
        <f>IF(AA$162&lt;=インプット!$E90,-$D180*(1-インプット!$E89)/インプット!$E90,0)</f>
        <v>0</v>
      </c>
      <c r="AB179" s="296">
        <f>IF(AB$162&lt;=インプット!$E90,-$D180*(1-インプット!$E89)/インプット!$E90,0)</f>
        <v>0</v>
      </c>
      <c r="AC179" s="296">
        <f>IF(AC$162&lt;=インプット!$E90,-$D180*(1-インプット!$E89)/インプット!$E90,0)</f>
        <v>0</v>
      </c>
      <c r="AD179" s="296">
        <f>IF(AD$162&lt;=インプット!$E90,-$D180*(1-インプット!$E89)/インプット!$E90,0)</f>
        <v>0</v>
      </c>
      <c r="AE179" s="296">
        <f>IF(AE$162&lt;=インプット!$E90,-$D180*(1-インプット!$E89)/インプット!$E90,0)</f>
        <v>0</v>
      </c>
      <c r="AF179" s="296">
        <f>IF(AF$162&lt;=インプット!$E90,-$D180*(1-インプット!$E89)/インプット!$E90,0)</f>
        <v>0</v>
      </c>
      <c r="AG179" s="296">
        <f>IF(AG$162&lt;=インプット!$E90,-$D180*(1-インプット!$E89)/インプット!$E90,0)</f>
        <v>0</v>
      </c>
      <c r="AH179" s="299">
        <f>IF(AH$162&lt;=インプット!$E90,-$D180*(1-インプット!$E89)/インプット!$E90,0)</f>
        <v>0</v>
      </c>
    </row>
    <row r="180" spans="1:35" x14ac:dyDescent="0.25">
      <c r="A180" s="21"/>
      <c r="B180" s="295" t="s">
        <v>156</v>
      </c>
      <c r="C180" s="308" t="s">
        <v>37</v>
      </c>
      <c r="D180" s="310">
        <f>インプット!E88</f>
        <v>0</v>
      </c>
      <c r="E180" s="311">
        <f t="shared" ref="E180:AH180" si="80">D180+E179</f>
        <v>0</v>
      </c>
      <c r="F180" s="311">
        <f t="shared" si="80"/>
        <v>0</v>
      </c>
      <c r="G180" s="311">
        <f t="shared" si="80"/>
        <v>0</v>
      </c>
      <c r="H180" s="311">
        <f t="shared" si="80"/>
        <v>0</v>
      </c>
      <c r="I180" s="311">
        <f t="shared" si="80"/>
        <v>0</v>
      </c>
      <c r="J180" s="311">
        <f t="shared" si="80"/>
        <v>0</v>
      </c>
      <c r="K180" s="311">
        <f t="shared" si="80"/>
        <v>0</v>
      </c>
      <c r="L180" s="311">
        <f t="shared" si="80"/>
        <v>0</v>
      </c>
      <c r="M180" s="311">
        <f t="shared" si="80"/>
        <v>0</v>
      </c>
      <c r="N180" s="311">
        <f t="shared" si="80"/>
        <v>0</v>
      </c>
      <c r="O180" s="311">
        <f t="shared" si="80"/>
        <v>0</v>
      </c>
      <c r="P180" s="311">
        <f t="shared" si="80"/>
        <v>0</v>
      </c>
      <c r="Q180" s="311">
        <f t="shared" si="80"/>
        <v>0</v>
      </c>
      <c r="R180" s="311">
        <f t="shared" si="80"/>
        <v>0</v>
      </c>
      <c r="S180" s="311">
        <f t="shared" si="80"/>
        <v>0</v>
      </c>
      <c r="T180" s="311">
        <f t="shared" si="80"/>
        <v>0</v>
      </c>
      <c r="U180" s="311">
        <f t="shared" si="80"/>
        <v>0</v>
      </c>
      <c r="V180" s="311">
        <f t="shared" si="80"/>
        <v>0</v>
      </c>
      <c r="W180" s="311">
        <f t="shared" si="80"/>
        <v>0</v>
      </c>
      <c r="X180" s="311">
        <f t="shared" si="80"/>
        <v>0</v>
      </c>
      <c r="Y180" s="311">
        <f t="shared" si="80"/>
        <v>0</v>
      </c>
      <c r="Z180" s="311">
        <f t="shared" si="80"/>
        <v>0</v>
      </c>
      <c r="AA180" s="311">
        <f t="shared" si="80"/>
        <v>0</v>
      </c>
      <c r="AB180" s="311">
        <f t="shared" si="80"/>
        <v>0</v>
      </c>
      <c r="AC180" s="311">
        <f t="shared" si="80"/>
        <v>0</v>
      </c>
      <c r="AD180" s="311">
        <f t="shared" si="80"/>
        <v>0</v>
      </c>
      <c r="AE180" s="311">
        <f t="shared" si="80"/>
        <v>0</v>
      </c>
      <c r="AF180" s="311">
        <f t="shared" si="80"/>
        <v>0</v>
      </c>
      <c r="AG180" s="311">
        <f t="shared" si="80"/>
        <v>0</v>
      </c>
      <c r="AH180" s="312">
        <f t="shared" si="80"/>
        <v>0</v>
      </c>
    </row>
    <row r="181" spans="1:35" x14ac:dyDescent="0.25">
      <c r="A181" s="21"/>
      <c r="B181" s="180" t="str">
        <f>インプット!B91</f>
        <v>＜設備費目を入力＞</v>
      </c>
      <c r="C181" s="181"/>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7"/>
    </row>
    <row r="182" spans="1:35" x14ac:dyDescent="0.25">
      <c r="A182" s="21"/>
      <c r="B182" s="190" t="s">
        <v>155</v>
      </c>
      <c r="C182" s="275" t="s">
        <v>37</v>
      </c>
      <c r="D182" s="38"/>
      <c r="E182" s="296">
        <f>IF(E$162&lt;=インプット!$E93,-$D183*(1-インプット!$E92)/インプット!$E93,0)</f>
        <v>0</v>
      </c>
      <c r="F182" s="296">
        <f>IF(F$162&lt;=インプット!$E93,-$D183*(1-インプット!$E92)/インプット!$E93,0)</f>
        <v>0</v>
      </c>
      <c r="G182" s="296">
        <f>IF(G$162&lt;=インプット!$E93,-$D183*(1-インプット!$E92)/インプット!$E93,0)</f>
        <v>0</v>
      </c>
      <c r="H182" s="296">
        <f>IF(H$162&lt;=インプット!$E93,-$D183*(1-インプット!$E92)/インプット!$E93,0)</f>
        <v>0</v>
      </c>
      <c r="I182" s="296">
        <f>IF(I$162&lt;=インプット!$E93,-$D183*(1-インプット!$E92)/インプット!$E93,0)</f>
        <v>0</v>
      </c>
      <c r="J182" s="296">
        <f>IF(J$162&lt;=インプット!$E93,-$D183*(1-インプット!$E92)/インプット!$E93,0)</f>
        <v>0</v>
      </c>
      <c r="K182" s="296">
        <f>IF(K$162&lt;=インプット!$E93,-$D183*(1-インプット!$E92)/インプット!$E93,0)</f>
        <v>0</v>
      </c>
      <c r="L182" s="296">
        <f>IF(L$162&lt;=インプット!$E93,-$D183*(1-インプット!$E92)/インプット!$E93,0)</f>
        <v>0</v>
      </c>
      <c r="M182" s="296">
        <f>IF(M$162&lt;=インプット!$E93,-$D183*(1-インプット!$E92)/インプット!$E93,0)</f>
        <v>0</v>
      </c>
      <c r="N182" s="296">
        <f>IF(N$162&lt;=インプット!$E93,-$D183*(1-インプット!$E92)/インプット!$E93,0)</f>
        <v>0</v>
      </c>
      <c r="O182" s="296">
        <f>IF(O$162&lt;=インプット!$E93,-$D183*(1-インプット!$E92)/インプット!$E93,0)</f>
        <v>0</v>
      </c>
      <c r="P182" s="296">
        <f>IF(P$162&lt;=インプット!$E93,-$D183*(1-インプット!$E92)/インプット!$E93,0)</f>
        <v>0</v>
      </c>
      <c r="Q182" s="296">
        <f>IF(Q$162&lt;=インプット!$E93,-$D183*(1-インプット!$E92)/インプット!$E93,0)</f>
        <v>0</v>
      </c>
      <c r="R182" s="296">
        <f>IF(R$162&lt;=インプット!$E93,-$D183*(1-インプット!$E92)/インプット!$E93,0)</f>
        <v>0</v>
      </c>
      <c r="S182" s="296">
        <f>IF(S$162&lt;=インプット!$E93,-$D183*(1-インプット!$E92)/インプット!$E93,0)</f>
        <v>0</v>
      </c>
      <c r="T182" s="296">
        <f>IF(T$162&lt;=インプット!$E93,-$D183*(1-インプット!$E92)/インプット!$E93,0)</f>
        <v>0</v>
      </c>
      <c r="U182" s="296">
        <f>IF(U$162&lt;=インプット!$E93,-$D183*(1-インプット!$E92)/インプット!$E93,0)</f>
        <v>0</v>
      </c>
      <c r="V182" s="296">
        <f>IF(V$162&lt;=インプット!$E93,-$D183*(1-インプット!$E92)/インプット!$E93,0)</f>
        <v>0</v>
      </c>
      <c r="W182" s="296">
        <f>IF(W$162&lt;=インプット!$E93,-$D183*(1-インプット!$E92)/インプット!$E93,0)</f>
        <v>0</v>
      </c>
      <c r="X182" s="296">
        <f>IF(X$162&lt;=インプット!$E93,-$D183*(1-インプット!$E92)/インプット!$E93,0)</f>
        <v>0</v>
      </c>
      <c r="Y182" s="296">
        <f>IF(Y$162&lt;=インプット!$E93,-$D183*(1-インプット!$E92)/インプット!$E93,0)</f>
        <v>0</v>
      </c>
      <c r="Z182" s="296">
        <f>IF(Z$162&lt;=インプット!$E93,-$D183*(1-インプット!$E92)/インプット!$E93,0)</f>
        <v>0</v>
      </c>
      <c r="AA182" s="296">
        <f>IF(AA$162&lt;=インプット!$E93,-$D183*(1-インプット!$E92)/インプット!$E93,0)</f>
        <v>0</v>
      </c>
      <c r="AB182" s="296">
        <f>IF(AB$162&lt;=インプット!$E93,-$D183*(1-インプット!$E92)/インプット!$E93,0)</f>
        <v>0</v>
      </c>
      <c r="AC182" s="296">
        <f>IF(AC$162&lt;=インプット!$E93,-$D183*(1-インプット!$E92)/インプット!$E93,0)</f>
        <v>0</v>
      </c>
      <c r="AD182" s="296">
        <f>IF(AD$162&lt;=インプット!$E93,-$D183*(1-インプット!$E92)/インプット!$E93,0)</f>
        <v>0</v>
      </c>
      <c r="AE182" s="296">
        <f>IF(AE$162&lt;=インプット!$E93,-$D183*(1-インプット!$E92)/インプット!$E93,0)</f>
        <v>0</v>
      </c>
      <c r="AF182" s="296">
        <f>IF(AF$162&lt;=インプット!$E93,-$D183*(1-インプット!$E92)/インプット!$E93,0)</f>
        <v>0</v>
      </c>
      <c r="AG182" s="296">
        <f>IF(AG$162&lt;=インプット!$E93,-$D183*(1-インプット!$E92)/インプット!$E93,0)</f>
        <v>0</v>
      </c>
      <c r="AH182" s="299">
        <f>IF(AH$162&lt;=インプット!$E93,-$D183*(1-インプット!$E92)/インプット!$E93,0)</f>
        <v>0</v>
      </c>
    </row>
    <row r="183" spans="1:35" ht="13" thickBot="1" x14ac:dyDescent="0.3">
      <c r="A183" s="21"/>
      <c r="B183" s="313" t="s">
        <v>156</v>
      </c>
      <c r="C183" s="309" t="s">
        <v>37</v>
      </c>
      <c r="D183" s="314">
        <f>インプット!E91</f>
        <v>0</v>
      </c>
      <c r="E183" s="315">
        <f t="shared" ref="E183:AH183" si="81">D183+E182</f>
        <v>0</v>
      </c>
      <c r="F183" s="315">
        <f t="shared" si="81"/>
        <v>0</v>
      </c>
      <c r="G183" s="315">
        <f t="shared" si="81"/>
        <v>0</v>
      </c>
      <c r="H183" s="315">
        <f t="shared" si="81"/>
        <v>0</v>
      </c>
      <c r="I183" s="315">
        <f t="shared" si="81"/>
        <v>0</v>
      </c>
      <c r="J183" s="315">
        <f t="shared" si="81"/>
        <v>0</v>
      </c>
      <c r="K183" s="315">
        <f t="shared" si="81"/>
        <v>0</v>
      </c>
      <c r="L183" s="315">
        <f t="shared" si="81"/>
        <v>0</v>
      </c>
      <c r="M183" s="315">
        <f t="shared" si="81"/>
        <v>0</v>
      </c>
      <c r="N183" s="315">
        <f t="shared" si="81"/>
        <v>0</v>
      </c>
      <c r="O183" s="315">
        <f t="shared" si="81"/>
        <v>0</v>
      </c>
      <c r="P183" s="315">
        <f t="shared" si="81"/>
        <v>0</v>
      </c>
      <c r="Q183" s="315">
        <f t="shared" si="81"/>
        <v>0</v>
      </c>
      <c r="R183" s="315">
        <f t="shared" si="81"/>
        <v>0</v>
      </c>
      <c r="S183" s="315">
        <f t="shared" si="81"/>
        <v>0</v>
      </c>
      <c r="T183" s="315">
        <f t="shared" si="81"/>
        <v>0</v>
      </c>
      <c r="U183" s="315">
        <f t="shared" si="81"/>
        <v>0</v>
      </c>
      <c r="V183" s="315">
        <f t="shared" si="81"/>
        <v>0</v>
      </c>
      <c r="W183" s="315">
        <f t="shared" si="81"/>
        <v>0</v>
      </c>
      <c r="X183" s="315">
        <f t="shared" si="81"/>
        <v>0</v>
      </c>
      <c r="Y183" s="315">
        <f t="shared" si="81"/>
        <v>0</v>
      </c>
      <c r="Z183" s="315">
        <f t="shared" si="81"/>
        <v>0</v>
      </c>
      <c r="AA183" s="315">
        <f t="shared" si="81"/>
        <v>0</v>
      </c>
      <c r="AB183" s="315">
        <f t="shared" si="81"/>
        <v>0</v>
      </c>
      <c r="AC183" s="315">
        <f t="shared" si="81"/>
        <v>0</v>
      </c>
      <c r="AD183" s="315">
        <f t="shared" si="81"/>
        <v>0</v>
      </c>
      <c r="AE183" s="315">
        <f t="shared" si="81"/>
        <v>0</v>
      </c>
      <c r="AF183" s="315">
        <f t="shared" si="81"/>
        <v>0</v>
      </c>
      <c r="AG183" s="315">
        <f t="shared" si="81"/>
        <v>0</v>
      </c>
      <c r="AH183" s="316">
        <f t="shared" si="81"/>
        <v>0</v>
      </c>
    </row>
    <row r="184" spans="1:35" x14ac:dyDescent="0.25">
      <c r="C184" s="95"/>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I184" s="16"/>
    </row>
    <row r="185" spans="1:35" ht="13" thickBot="1" x14ac:dyDescent="0.3">
      <c r="A185" s="303" t="s">
        <v>157</v>
      </c>
      <c r="B185" s="21"/>
      <c r="D185" s="10"/>
      <c r="E185" s="10"/>
      <c r="F185" s="10"/>
      <c r="G185" s="10"/>
      <c r="H185" s="10"/>
      <c r="I185" s="10"/>
      <c r="J185" s="10"/>
      <c r="K185" s="10"/>
      <c r="L185" s="10"/>
      <c r="M185" s="10"/>
      <c r="N185" s="10"/>
      <c r="O185" s="10"/>
      <c r="P185" s="10"/>
      <c r="Q185" s="10"/>
      <c r="R185" s="10"/>
      <c r="S185" s="10"/>
      <c r="T185" s="10"/>
      <c r="U185" s="10"/>
      <c r="V185" s="10"/>
      <c r="W185" s="10"/>
      <c r="X185" s="10"/>
    </row>
    <row r="186" spans="1:35" ht="13" thickBot="1" x14ac:dyDescent="0.3">
      <c r="A186" s="21"/>
      <c r="B186" s="290" t="s">
        <v>18</v>
      </c>
      <c r="C186" s="289"/>
      <c r="D186" s="28">
        <v>0</v>
      </c>
      <c r="E186" s="28">
        <v>1</v>
      </c>
      <c r="F186" s="28">
        <v>2</v>
      </c>
      <c r="G186" s="28">
        <v>3</v>
      </c>
      <c r="H186" s="28">
        <v>4</v>
      </c>
      <c r="I186" s="28">
        <v>5</v>
      </c>
      <c r="J186" s="28">
        <v>6</v>
      </c>
      <c r="K186" s="28">
        <v>7</v>
      </c>
      <c r="L186" s="28">
        <v>8</v>
      </c>
      <c r="M186" s="28">
        <v>9</v>
      </c>
      <c r="N186" s="28">
        <v>10</v>
      </c>
      <c r="O186" s="28">
        <v>11</v>
      </c>
      <c r="P186" s="28">
        <v>12</v>
      </c>
      <c r="Q186" s="28">
        <v>13</v>
      </c>
      <c r="R186" s="28">
        <v>14</v>
      </c>
      <c r="S186" s="28">
        <v>15</v>
      </c>
      <c r="T186" s="28">
        <v>16</v>
      </c>
      <c r="U186" s="28">
        <v>17</v>
      </c>
      <c r="V186" s="28">
        <v>18</v>
      </c>
      <c r="W186" s="28">
        <v>19</v>
      </c>
      <c r="X186" s="80">
        <v>20</v>
      </c>
      <c r="Y186" s="28">
        <v>21</v>
      </c>
      <c r="Z186" s="28">
        <v>22</v>
      </c>
      <c r="AA186" s="28">
        <v>23</v>
      </c>
      <c r="AB186" s="28">
        <v>24</v>
      </c>
      <c r="AC186" s="28">
        <v>25</v>
      </c>
      <c r="AD186" s="28">
        <v>26</v>
      </c>
      <c r="AE186" s="28">
        <v>27</v>
      </c>
      <c r="AF186" s="28">
        <v>28</v>
      </c>
      <c r="AG186" s="28">
        <v>29</v>
      </c>
      <c r="AH186" s="80">
        <v>30</v>
      </c>
    </row>
    <row r="187" spans="1:35" x14ac:dyDescent="0.25">
      <c r="A187" s="21"/>
      <c r="B187" s="304" t="str">
        <f>インプット!B96</f>
        <v>地域内金融機関</v>
      </c>
      <c r="C187" s="285"/>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306"/>
    </row>
    <row r="188" spans="1:35" x14ac:dyDescent="0.25">
      <c r="A188" s="21"/>
      <c r="B188" s="190" t="s">
        <v>158</v>
      </c>
      <c r="C188" s="275" t="s">
        <v>37</v>
      </c>
      <c r="D188" s="38"/>
      <c r="E188" s="296">
        <f>IF(E$186&lt;=インプット!$E97,-$D190/インプット!$E97,0)</f>
        <v>-50000000</v>
      </c>
      <c r="F188" s="296">
        <f>IF(F$186&lt;=インプット!$E97,-$D190/インプット!$E97,0)</f>
        <v>-50000000</v>
      </c>
      <c r="G188" s="296">
        <f>IF(G$186&lt;=インプット!$E97,-$D190/インプット!$E97,0)</f>
        <v>-50000000</v>
      </c>
      <c r="H188" s="296">
        <f>IF(H$186&lt;=インプット!$E97,-$D190/インプット!$E97,0)</f>
        <v>-50000000</v>
      </c>
      <c r="I188" s="296">
        <f>IF(I$186&lt;=インプット!$E97,-$D190/インプット!$E97,0)</f>
        <v>-50000000</v>
      </c>
      <c r="J188" s="296">
        <f>IF(J$186&lt;=インプット!$E97,-$D190/インプット!$E97,0)</f>
        <v>-50000000</v>
      </c>
      <c r="K188" s="296">
        <f>IF(K$186&lt;=インプット!$E97,-$D190/インプット!$E97,0)</f>
        <v>-50000000</v>
      </c>
      <c r="L188" s="296">
        <f>IF(L$186&lt;=インプット!$E97,-$D190/インプット!$E97,0)</f>
        <v>-50000000</v>
      </c>
      <c r="M188" s="296">
        <f>IF(M$186&lt;=インプット!$E97,-$D190/インプット!$E97,0)</f>
        <v>-50000000</v>
      </c>
      <c r="N188" s="296">
        <f>IF(N$186&lt;=インプット!$E97,-$D190/インプット!$E97,0)</f>
        <v>-50000000</v>
      </c>
      <c r="O188" s="296">
        <f>IF(O$186&lt;=インプット!$E97,-$D190/インプット!$E97,0)</f>
        <v>-50000000</v>
      </c>
      <c r="P188" s="296">
        <f>IF(P$186&lt;=インプット!$E97,-$D190/インプット!$E97,0)</f>
        <v>-50000000</v>
      </c>
      <c r="Q188" s="296">
        <f>IF(Q$186&lt;=インプット!$E97,-$D190/インプット!$E97,0)</f>
        <v>-50000000</v>
      </c>
      <c r="R188" s="296">
        <f>IF(R$186&lt;=インプット!$E97,-$D190/インプット!$E97,0)</f>
        <v>-50000000</v>
      </c>
      <c r="S188" s="296">
        <f>IF(S$186&lt;=インプット!$E97,-$D190/インプット!$E97,0)</f>
        <v>-50000000</v>
      </c>
      <c r="T188" s="296">
        <f>IF(T$186&lt;=インプット!$E97,-$D190/インプット!$E97,0)</f>
        <v>-50000000</v>
      </c>
      <c r="U188" s="296">
        <f>IF(U$186&lt;=インプット!$E97,-$D190/インプット!$E97,0)</f>
        <v>-50000000</v>
      </c>
      <c r="V188" s="296">
        <f>IF(V$186&lt;=インプット!$E97,-$D190/インプット!$E97,0)</f>
        <v>-50000000</v>
      </c>
      <c r="W188" s="296">
        <f>IF(W$186&lt;=インプット!$E97,-$D190/インプット!$E97,0)</f>
        <v>-50000000</v>
      </c>
      <c r="X188" s="296">
        <f>IF(X$186&lt;=インプット!$E97,-$D190/インプット!$E97,0)</f>
        <v>-50000000</v>
      </c>
      <c r="Y188" s="296">
        <f>IF(Y$186&lt;=インプット!$E97,-$D190/インプット!$E97,0)</f>
        <v>0</v>
      </c>
      <c r="Z188" s="296">
        <f>IF(Z$186&lt;=インプット!$E97,-$D190/インプット!$E97,0)</f>
        <v>0</v>
      </c>
      <c r="AA188" s="296">
        <f>IF(AA$186&lt;=インプット!$E97,-$D190/インプット!$E97,0)</f>
        <v>0</v>
      </c>
      <c r="AB188" s="296">
        <f>IF(AB$186&lt;=インプット!$E97,-$D190/インプット!$E97,0)</f>
        <v>0</v>
      </c>
      <c r="AC188" s="296">
        <f>IF(AC$186&lt;=インプット!$E97,-$D190/インプット!$E97,0)</f>
        <v>0</v>
      </c>
      <c r="AD188" s="296">
        <f>IF(AD$186&lt;=インプット!$E97,-$D190/インプット!$E97,0)</f>
        <v>0</v>
      </c>
      <c r="AE188" s="296">
        <f>IF(AE$186&lt;=インプット!$E97,-$D190/インプット!$E97,0)</f>
        <v>0</v>
      </c>
      <c r="AF188" s="296">
        <f>IF(AF$186&lt;=インプット!$E97,-$D190/インプット!$E97,0)</f>
        <v>0</v>
      </c>
      <c r="AG188" s="296">
        <f>IF(AG$186&lt;=インプット!$E97,-$D190/インプット!$E97,0)</f>
        <v>0</v>
      </c>
      <c r="AH188" s="299">
        <f>IF(AH$186&lt;=インプット!$E97,-$D190/インプット!$E97,0)</f>
        <v>0</v>
      </c>
    </row>
    <row r="189" spans="1:35" x14ac:dyDescent="0.25">
      <c r="A189" s="21"/>
      <c r="B189" s="317" t="s">
        <v>159</v>
      </c>
      <c r="C189" s="275" t="s">
        <v>37</v>
      </c>
      <c r="D189" s="318"/>
      <c r="E189" s="319">
        <f>-D190*インプット!$E98</f>
        <v>-10000000</v>
      </c>
      <c r="F189" s="319">
        <f>-E190*インプット!$E98</f>
        <v>-9500000</v>
      </c>
      <c r="G189" s="319">
        <f>-F190*インプット!$E98</f>
        <v>-9000000</v>
      </c>
      <c r="H189" s="319">
        <f>-G190*インプット!$E98</f>
        <v>-8500000</v>
      </c>
      <c r="I189" s="319">
        <f>-H190*インプット!$E98</f>
        <v>-8000000</v>
      </c>
      <c r="J189" s="319">
        <f>-I190*インプット!$E98</f>
        <v>-7500000</v>
      </c>
      <c r="K189" s="319">
        <f>-J190*インプット!$E98</f>
        <v>-7000000</v>
      </c>
      <c r="L189" s="319">
        <f>-K190*インプット!$E98</f>
        <v>-6500000</v>
      </c>
      <c r="M189" s="319">
        <f>-L190*インプット!$E98</f>
        <v>-6000000</v>
      </c>
      <c r="N189" s="319">
        <f>-M190*インプット!$E98</f>
        <v>-5500000</v>
      </c>
      <c r="O189" s="319">
        <f>-N190*インプット!$E98</f>
        <v>-5000000</v>
      </c>
      <c r="P189" s="319">
        <f>-O190*インプット!$E98</f>
        <v>-4500000</v>
      </c>
      <c r="Q189" s="319">
        <f>-P190*インプット!$E98</f>
        <v>-4000000</v>
      </c>
      <c r="R189" s="319">
        <f>-Q190*インプット!$E98</f>
        <v>-3500000</v>
      </c>
      <c r="S189" s="319">
        <f>-R190*インプット!$E98</f>
        <v>-3000000</v>
      </c>
      <c r="T189" s="319">
        <f>-S190*インプット!$E98</f>
        <v>-2500000</v>
      </c>
      <c r="U189" s="319">
        <f>-T190*インプット!$E98</f>
        <v>-2000000</v>
      </c>
      <c r="V189" s="319">
        <f>-U190*インプット!$E98</f>
        <v>-1500000</v>
      </c>
      <c r="W189" s="319">
        <f>-V190*インプット!$E98</f>
        <v>-1000000</v>
      </c>
      <c r="X189" s="319">
        <f>-W190*インプット!$E98</f>
        <v>-500000</v>
      </c>
      <c r="Y189" s="319">
        <f>-X190*インプット!$E98</f>
        <v>0</v>
      </c>
      <c r="Z189" s="319">
        <f>-Y190*インプット!$E98</f>
        <v>0</v>
      </c>
      <c r="AA189" s="319">
        <f>-Z190*インプット!$E98</f>
        <v>0</v>
      </c>
      <c r="AB189" s="319">
        <f>-AA190*インプット!$E98</f>
        <v>0</v>
      </c>
      <c r="AC189" s="319">
        <f>-AB190*インプット!$E98</f>
        <v>0</v>
      </c>
      <c r="AD189" s="319">
        <f>-AC190*インプット!$E98</f>
        <v>0</v>
      </c>
      <c r="AE189" s="319">
        <f>-AD190*インプット!$E98</f>
        <v>0</v>
      </c>
      <c r="AF189" s="319">
        <f>-AE190*インプット!$E98</f>
        <v>0</v>
      </c>
      <c r="AG189" s="319">
        <f>-AF190*インプット!$E98</f>
        <v>0</v>
      </c>
      <c r="AH189" s="320">
        <f>-AG190*インプット!$E98</f>
        <v>0</v>
      </c>
    </row>
    <row r="190" spans="1:35" x14ac:dyDescent="0.25">
      <c r="A190" s="21"/>
      <c r="B190" s="295" t="s">
        <v>156</v>
      </c>
      <c r="C190" s="308" t="s">
        <v>37</v>
      </c>
      <c r="D190" s="310">
        <f>インプット!E96</f>
        <v>1000000000</v>
      </c>
      <c r="E190" s="311">
        <f t="shared" ref="E190:AH190" si="82">D190+E188</f>
        <v>950000000</v>
      </c>
      <c r="F190" s="311">
        <f t="shared" si="82"/>
        <v>900000000</v>
      </c>
      <c r="G190" s="311">
        <f t="shared" si="82"/>
        <v>850000000</v>
      </c>
      <c r="H190" s="311">
        <f t="shared" si="82"/>
        <v>800000000</v>
      </c>
      <c r="I190" s="311">
        <f t="shared" si="82"/>
        <v>750000000</v>
      </c>
      <c r="J190" s="311">
        <f t="shared" si="82"/>
        <v>700000000</v>
      </c>
      <c r="K190" s="311">
        <f t="shared" si="82"/>
        <v>650000000</v>
      </c>
      <c r="L190" s="311">
        <f t="shared" si="82"/>
        <v>600000000</v>
      </c>
      <c r="M190" s="311">
        <f t="shared" si="82"/>
        <v>550000000</v>
      </c>
      <c r="N190" s="311">
        <f t="shared" si="82"/>
        <v>500000000</v>
      </c>
      <c r="O190" s="311">
        <f t="shared" si="82"/>
        <v>450000000</v>
      </c>
      <c r="P190" s="311">
        <f t="shared" si="82"/>
        <v>400000000</v>
      </c>
      <c r="Q190" s="311">
        <f t="shared" si="82"/>
        <v>350000000</v>
      </c>
      <c r="R190" s="311">
        <f t="shared" si="82"/>
        <v>300000000</v>
      </c>
      <c r="S190" s="311">
        <f t="shared" si="82"/>
        <v>250000000</v>
      </c>
      <c r="T190" s="311">
        <f t="shared" si="82"/>
        <v>200000000</v>
      </c>
      <c r="U190" s="311">
        <f t="shared" si="82"/>
        <v>150000000</v>
      </c>
      <c r="V190" s="311">
        <f t="shared" si="82"/>
        <v>100000000</v>
      </c>
      <c r="W190" s="311">
        <f t="shared" si="82"/>
        <v>50000000</v>
      </c>
      <c r="X190" s="311">
        <f t="shared" si="82"/>
        <v>0</v>
      </c>
      <c r="Y190" s="311">
        <f t="shared" si="82"/>
        <v>0</v>
      </c>
      <c r="Z190" s="311">
        <f t="shared" si="82"/>
        <v>0</v>
      </c>
      <c r="AA190" s="311">
        <f t="shared" si="82"/>
        <v>0</v>
      </c>
      <c r="AB190" s="311">
        <f t="shared" si="82"/>
        <v>0</v>
      </c>
      <c r="AC190" s="311">
        <f t="shared" si="82"/>
        <v>0</v>
      </c>
      <c r="AD190" s="311">
        <f t="shared" si="82"/>
        <v>0</v>
      </c>
      <c r="AE190" s="311">
        <f t="shared" si="82"/>
        <v>0</v>
      </c>
      <c r="AF190" s="311">
        <f t="shared" si="82"/>
        <v>0</v>
      </c>
      <c r="AG190" s="311">
        <f t="shared" si="82"/>
        <v>0</v>
      </c>
      <c r="AH190" s="312">
        <f t="shared" si="82"/>
        <v>0</v>
      </c>
    </row>
    <row r="191" spans="1:35" x14ac:dyDescent="0.25">
      <c r="A191" s="21"/>
      <c r="B191" s="180" t="str">
        <f>インプット!B99</f>
        <v>地域外金融機関</v>
      </c>
      <c r="C191" s="181"/>
      <c r="D191" s="305"/>
      <c r="E191" s="305"/>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7"/>
    </row>
    <row r="192" spans="1:35" x14ac:dyDescent="0.25">
      <c r="A192" s="21"/>
      <c r="B192" s="190" t="s">
        <v>158</v>
      </c>
      <c r="C192" s="275" t="s">
        <v>37</v>
      </c>
      <c r="D192" s="38"/>
      <c r="E192" s="296">
        <f>IF(E$186&lt;=インプット!$E100,-$D194/インプット!$E100,0)</f>
        <v>0</v>
      </c>
      <c r="F192" s="296">
        <f>IF(F$186&lt;=インプット!$E100,-$D194/インプット!$E100,0)</f>
        <v>0</v>
      </c>
      <c r="G192" s="296">
        <f>IF(G$186&lt;=インプット!$E100,-$D194/インプット!$E100,0)</f>
        <v>0</v>
      </c>
      <c r="H192" s="296">
        <f>IF(H$186&lt;=インプット!$E100,-$D194/インプット!$E100,0)</f>
        <v>0</v>
      </c>
      <c r="I192" s="296">
        <f>IF(I$186&lt;=インプット!$E100,-$D194/インプット!$E100,0)</f>
        <v>0</v>
      </c>
      <c r="J192" s="296">
        <f>IF(J$186&lt;=インプット!$E100,-$D194/インプット!$E100,0)</f>
        <v>0</v>
      </c>
      <c r="K192" s="296">
        <f>IF(K$186&lt;=インプット!$E100,-$D194/インプット!$E100,0)</f>
        <v>0</v>
      </c>
      <c r="L192" s="296">
        <f>IF(L$186&lt;=インプット!$E100,-$D194/インプット!$E100,0)</f>
        <v>0</v>
      </c>
      <c r="M192" s="296">
        <f>IF(M$186&lt;=インプット!$E100,-$D194/インプット!$E100,0)</f>
        <v>0</v>
      </c>
      <c r="N192" s="296">
        <f>IF(N$186&lt;=インプット!$E100,-$D194/インプット!$E100,0)</f>
        <v>0</v>
      </c>
      <c r="O192" s="296">
        <f>IF(O$186&lt;=インプット!$E100,-$D194/インプット!$E100,0)</f>
        <v>0</v>
      </c>
      <c r="P192" s="296">
        <f>IF(P$186&lt;=インプット!$E100,-$D194/インプット!$E100,0)</f>
        <v>0</v>
      </c>
      <c r="Q192" s="296">
        <f>IF(Q$186&lt;=インプット!$E100,-$D194/インプット!$E100,0)</f>
        <v>0</v>
      </c>
      <c r="R192" s="296">
        <f>IF(R$186&lt;=インプット!$E100,-$D194/インプット!$E100,0)</f>
        <v>0</v>
      </c>
      <c r="S192" s="296">
        <f>IF(S$186&lt;=インプット!$E100,-$D194/インプット!$E100,0)</f>
        <v>0</v>
      </c>
      <c r="T192" s="296">
        <f>IF(T$186&lt;=インプット!$E100,-$D194/インプット!$E100,0)</f>
        <v>0</v>
      </c>
      <c r="U192" s="296">
        <f>IF(U$186&lt;=インプット!$E100,-$D194/インプット!$E100,0)</f>
        <v>0</v>
      </c>
      <c r="V192" s="296">
        <f>IF(V$186&lt;=インプット!$E100,-$D194/インプット!$E100,0)</f>
        <v>0</v>
      </c>
      <c r="W192" s="296">
        <f>IF(W$186&lt;=インプット!$E100,-$D194/インプット!$E100,0)</f>
        <v>0</v>
      </c>
      <c r="X192" s="296">
        <f>IF(X$186&lt;=インプット!$E100,-$D194/インプット!$E100,0)</f>
        <v>0</v>
      </c>
      <c r="Y192" s="296">
        <f>IF(Y$186&lt;=インプット!$E100,-$D194/インプット!$E100,0)</f>
        <v>0</v>
      </c>
      <c r="Z192" s="296">
        <f>IF(Z$186&lt;=インプット!$E100,-$D194/インプット!$E100,0)</f>
        <v>0</v>
      </c>
      <c r="AA192" s="296">
        <f>IF(AA$186&lt;=インプット!$E100,-$D194/インプット!$E100,0)</f>
        <v>0</v>
      </c>
      <c r="AB192" s="296">
        <f>IF(AB$186&lt;=インプット!$E100,-$D194/インプット!$E100,0)</f>
        <v>0</v>
      </c>
      <c r="AC192" s="296">
        <f>IF(AC$186&lt;=インプット!$E100,-$D194/インプット!$E100,0)</f>
        <v>0</v>
      </c>
      <c r="AD192" s="296">
        <f>IF(AD$186&lt;=インプット!$E100,-$D194/インプット!$E100,0)</f>
        <v>0</v>
      </c>
      <c r="AE192" s="296">
        <f>IF(AE$186&lt;=インプット!$E100,-$D194/インプット!$E100,0)</f>
        <v>0</v>
      </c>
      <c r="AF192" s="296">
        <f>IF(AF$186&lt;=インプット!$E100,-$D194/インプット!$E100,0)</f>
        <v>0</v>
      </c>
      <c r="AG192" s="296">
        <f>IF(AG$186&lt;=インプット!$E100,-$D194/インプット!$E100,0)</f>
        <v>0</v>
      </c>
      <c r="AH192" s="299">
        <f>IF(AH$186&lt;=インプット!$E100,-$D194/インプット!$E100,0)</f>
        <v>0</v>
      </c>
    </row>
    <row r="193" spans="1:36" x14ac:dyDescent="0.25">
      <c r="A193" s="21"/>
      <c r="B193" s="317" t="s">
        <v>159</v>
      </c>
      <c r="C193" s="275" t="s">
        <v>37</v>
      </c>
      <c r="D193" s="318"/>
      <c r="E193" s="319">
        <f>-D194*インプット!$E101</f>
        <v>0</v>
      </c>
      <c r="F193" s="319">
        <f>-E194*インプット!$E101</f>
        <v>0</v>
      </c>
      <c r="G193" s="319">
        <f>-F194*インプット!$E101</f>
        <v>0</v>
      </c>
      <c r="H193" s="319">
        <f>-G194*インプット!$E101</f>
        <v>0</v>
      </c>
      <c r="I193" s="319">
        <f>-H194*インプット!$E101</f>
        <v>0</v>
      </c>
      <c r="J193" s="319">
        <f>-I194*インプット!$E101</f>
        <v>0</v>
      </c>
      <c r="K193" s="319">
        <f>-J194*インプット!$E101</f>
        <v>0</v>
      </c>
      <c r="L193" s="319">
        <f>-K194*インプット!$E101</f>
        <v>0</v>
      </c>
      <c r="M193" s="319">
        <f>-L194*インプット!$E101</f>
        <v>0</v>
      </c>
      <c r="N193" s="319">
        <f>-M194*インプット!$E101</f>
        <v>0</v>
      </c>
      <c r="O193" s="319">
        <f>-N194*インプット!$E101</f>
        <v>0</v>
      </c>
      <c r="P193" s="319">
        <f>-O194*インプット!$E101</f>
        <v>0</v>
      </c>
      <c r="Q193" s="319">
        <f>-P194*インプット!$E101</f>
        <v>0</v>
      </c>
      <c r="R193" s="319">
        <f>-Q194*インプット!$E101</f>
        <v>0</v>
      </c>
      <c r="S193" s="319">
        <f>-R194*インプット!$E101</f>
        <v>0</v>
      </c>
      <c r="T193" s="319">
        <f>-S194*インプット!$E101</f>
        <v>0</v>
      </c>
      <c r="U193" s="319">
        <f>-T194*インプット!$E101</f>
        <v>0</v>
      </c>
      <c r="V193" s="319">
        <f>-U194*インプット!$E101</f>
        <v>0</v>
      </c>
      <c r="W193" s="319">
        <f>-V194*インプット!$E101</f>
        <v>0</v>
      </c>
      <c r="X193" s="319">
        <f>-W194*インプット!$E101</f>
        <v>0</v>
      </c>
      <c r="Y193" s="319">
        <f>-X194*インプット!$E101</f>
        <v>0</v>
      </c>
      <c r="Z193" s="319">
        <f>-Y194*インプット!$E101</f>
        <v>0</v>
      </c>
      <c r="AA193" s="319">
        <f>-Z194*インプット!$E101</f>
        <v>0</v>
      </c>
      <c r="AB193" s="319">
        <f>-AA194*インプット!$E101</f>
        <v>0</v>
      </c>
      <c r="AC193" s="319">
        <f>-AB194*インプット!$E101</f>
        <v>0</v>
      </c>
      <c r="AD193" s="319">
        <f>-AC194*インプット!$E101</f>
        <v>0</v>
      </c>
      <c r="AE193" s="319">
        <f>-AD194*インプット!$E101</f>
        <v>0</v>
      </c>
      <c r="AF193" s="319">
        <f>-AE194*インプット!$E101</f>
        <v>0</v>
      </c>
      <c r="AG193" s="319">
        <f>-AF194*インプット!$E101</f>
        <v>0</v>
      </c>
      <c r="AH193" s="320">
        <f>-AG194*インプット!$E101</f>
        <v>0</v>
      </c>
    </row>
    <row r="194" spans="1:36" x14ac:dyDescent="0.25">
      <c r="A194" s="21"/>
      <c r="B194" s="295" t="s">
        <v>156</v>
      </c>
      <c r="C194" s="308" t="s">
        <v>37</v>
      </c>
      <c r="D194" s="310">
        <f>インプット!E99</f>
        <v>0</v>
      </c>
      <c r="E194" s="311">
        <f t="shared" ref="E194:AH194" si="83">D194+E192</f>
        <v>0</v>
      </c>
      <c r="F194" s="311">
        <f t="shared" si="83"/>
        <v>0</v>
      </c>
      <c r="G194" s="311">
        <f t="shared" si="83"/>
        <v>0</v>
      </c>
      <c r="H194" s="311">
        <f t="shared" si="83"/>
        <v>0</v>
      </c>
      <c r="I194" s="311">
        <f t="shared" si="83"/>
        <v>0</v>
      </c>
      <c r="J194" s="311">
        <f t="shared" si="83"/>
        <v>0</v>
      </c>
      <c r="K194" s="311">
        <f t="shared" si="83"/>
        <v>0</v>
      </c>
      <c r="L194" s="311">
        <f t="shared" si="83"/>
        <v>0</v>
      </c>
      <c r="M194" s="311">
        <f t="shared" si="83"/>
        <v>0</v>
      </c>
      <c r="N194" s="311">
        <f t="shared" si="83"/>
        <v>0</v>
      </c>
      <c r="O194" s="311">
        <f t="shared" si="83"/>
        <v>0</v>
      </c>
      <c r="P194" s="311">
        <f t="shared" si="83"/>
        <v>0</v>
      </c>
      <c r="Q194" s="311">
        <f t="shared" si="83"/>
        <v>0</v>
      </c>
      <c r="R194" s="311">
        <f t="shared" si="83"/>
        <v>0</v>
      </c>
      <c r="S194" s="311">
        <f t="shared" si="83"/>
        <v>0</v>
      </c>
      <c r="T194" s="311">
        <f t="shared" si="83"/>
        <v>0</v>
      </c>
      <c r="U194" s="311">
        <f t="shared" si="83"/>
        <v>0</v>
      </c>
      <c r="V194" s="311">
        <f t="shared" si="83"/>
        <v>0</v>
      </c>
      <c r="W194" s="311">
        <f t="shared" si="83"/>
        <v>0</v>
      </c>
      <c r="X194" s="311">
        <f t="shared" si="83"/>
        <v>0</v>
      </c>
      <c r="Y194" s="311">
        <f t="shared" si="83"/>
        <v>0</v>
      </c>
      <c r="Z194" s="311">
        <f t="shared" si="83"/>
        <v>0</v>
      </c>
      <c r="AA194" s="311">
        <f t="shared" si="83"/>
        <v>0</v>
      </c>
      <c r="AB194" s="311">
        <f t="shared" si="83"/>
        <v>0</v>
      </c>
      <c r="AC194" s="311">
        <f t="shared" si="83"/>
        <v>0</v>
      </c>
      <c r="AD194" s="311">
        <f t="shared" si="83"/>
        <v>0</v>
      </c>
      <c r="AE194" s="311">
        <f t="shared" si="83"/>
        <v>0</v>
      </c>
      <c r="AF194" s="311">
        <f t="shared" si="83"/>
        <v>0</v>
      </c>
      <c r="AG194" s="311">
        <f t="shared" si="83"/>
        <v>0</v>
      </c>
      <c r="AH194" s="312">
        <f t="shared" si="83"/>
        <v>0</v>
      </c>
    </row>
    <row r="195" spans="1:36" x14ac:dyDescent="0.25">
      <c r="A195" s="21"/>
      <c r="B195" s="180" t="str">
        <f>インプット!B102</f>
        <v>＜名称を入力＞</v>
      </c>
      <c r="C195" s="181"/>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7"/>
    </row>
    <row r="196" spans="1:36" x14ac:dyDescent="0.25">
      <c r="A196" s="21"/>
      <c r="B196" s="190" t="s">
        <v>158</v>
      </c>
      <c r="C196" s="275" t="s">
        <v>37</v>
      </c>
      <c r="D196" s="38"/>
      <c r="E196" s="296">
        <f>IF(E$186&lt;=インプット!$E103,-$D198/インプット!$E103,0)</f>
        <v>0</v>
      </c>
      <c r="F196" s="296">
        <f>IF(F$186&lt;=インプット!$E103,-$D198/インプット!$E103,0)</f>
        <v>0</v>
      </c>
      <c r="G196" s="296">
        <f>IF(G$186&lt;=インプット!$E103,-$D198/インプット!$E103,0)</f>
        <v>0</v>
      </c>
      <c r="H196" s="296">
        <f>IF(H$186&lt;=インプット!$E103,-$D198/インプット!$E103,0)</f>
        <v>0</v>
      </c>
      <c r="I196" s="296">
        <f>IF(I$186&lt;=インプット!$E103,-$D198/インプット!$E103,0)</f>
        <v>0</v>
      </c>
      <c r="J196" s="296">
        <f>IF(J$186&lt;=インプット!$E103,-$D198/インプット!$E103,0)</f>
        <v>0</v>
      </c>
      <c r="K196" s="296">
        <f>IF(K$186&lt;=インプット!$E103,-$D198/インプット!$E103,0)</f>
        <v>0</v>
      </c>
      <c r="L196" s="296">
        <f>IF(L$186&lt;=インプット!$E103,-$D198/インプット!$E103,0)</f>
        <v>0</v>
      </c>
      <c r="M196" s="296">
        <f>IF(M$186&lt;=インプット!$E103,-$D198/インプット!$E103,0)</f>
        <v>0</v>
      </c>
      <c r="N196" s="296">
        <f>IF(N$186&lt;=インプット!$E103,-$D198/インプット!$E103,0)</f>
        <v>0</v>
      </c>
      <c r="O196" s="296">
        <f>IF(O$186&lt;=インプット!$E103,-$D198/インプット!$E103,0)</f>
        <v>0</v>
      </c>
      <c r="P196" s="296">
        <f>IF(P$186&lt;=インプット!$E103,-$D198/インプット!$E103,0)</f>
        <v>0</v>
      </c>
      <c r="Q196" s="296">
        <f>IF(Q$186&lt;=インプット!$E103,-$D198/インプット!$E103,0)</f>
        <v>0</v>
      </c>
      <c r="R196" s="296">
        <f>IF(R$186&lt;=インプット!$E103,-$D198/インプット!$E103,0)</f>
        <v>0</v>
      </c>
      <c r="S196" s="296">
        <f>IF(S$186&lt;=インプット!$E103,-$D198/インプット!$E103,0)</f>
        <v>0</v>
      </c>
      <c r="T196" s="296">
        <f>IF(T$186&lt;=インプット!$E103,-$D198/インプット!$E103,0)</f>
        <v>0</v>
      </c>
      <c r="U196" s="296">
        <f>IF(U$186&lt;=インプット!$E103,-$D198/インプット!$E103,0)</f>
        <v>0</v>
      </c>
      <c r="V196" s="296">
        <f>IF(V$186&lt;=インプット!$E103,-$D198/インプット!$E103,0)</f>
        <v>0</v>
      </c>
      <c r="W196" s="296">
        <f>IF(W$186&lt;=インプット!$E103,-$D198/インプット!$E103,0)</f>
        <v>0</v>
      </c>
      <c r="X196" s="296">
        <f>IF(X$186&lt;=インプット!$E103,-$D198/インプット!$E103,0)</f>
        <v>0</v>
      </c>
      <c r="Y196" s="296">
        <f>IF(Y$186&lt;=インプット!$E103,-$D198/インプット!$E103,0)</f>
        <v>0</v>
      </c>
      <c r="Z196" s="296">
        <f>IF(Z$186&lt;=インプット!$E103,-$D198/インプット!$E103,0)</f>
        <v>0</v>
      </c>
      <c r="AA196" s="296">
        <f>IF(AA$186&lt;=インプット!$E103,-$D198/インプット!$E103,0)</f>
        <v>0</v>
      </c>
      <c r="AB196" s="296">
        <f>IF(AB$186&lt;=インプット!$E103,-$D198/インプット!$E103,0)</f>
        <v>0</v>
      </c>
      <c r="AC196" s="296">
        <f>IF(AC$186&lt;=インプット!$E103,-$D198/インプット!$E103,0)</f>
        <v>0</v>
      </c>
      <c r="AD196" s="296">
        <f>IF(AD$186&lt;=インプット!$E103,-$D198/インプット!$E103,0)</f>
        <v>0</v>
      </c>
      <c r="AE196" s="296">
        <f>IF(AE$186&lt;=インプット!$E103,-$D198/インプット!$E103,0)</f>
        <v>0</v>
      </c>
      <c r="AF196" s="296">
        <f>IF(AF$186&lt;=インプット!$E103,-$D198/インプット!$E103,0)</f>
        <v>0</v>
      </c>
      <c r="AG196" s="296">
        <f>IF(AG$186&lt;=インプット!$E103,-$D198/インプット!$E103,0)</f>
        <v>0</v>
      </c>
      <c r="AH196" s="299">
        <f>IF(AH$186&lt;=インプット!$E103,-$D198/インプット!$E103,0)</f>
        <v>0</v>
      </c>
    </row>
    <row r="197" spans="1:36" x14ac:dyDescent="0.25">
      <c r="A197" s="21"/>
      <c r="B197" s="317" t="s">
        <v>159</v>
      </c>
      <c r="C197" s="275" t="s">
        <v>37</v>
      </c>
      <c r="D197" s="318"/>
      <c r="E197" s="319">
        <f>-D198*インプット!$E104</f>
        <v>0</v>
      </c>
      <c r="F197" s="319">
        <f>-E198*インプット!$E104</f>
        <v>0</v>
      </c>
      <c r="G197" s="319">
        <f>-F198*インプット!$E104</f>
        <v>0</v>
      </c>
      <c r="H197" s="319">
        <f>-G198*インプット!$E104</f>
        <v>0</v>
      </c>
      <c r="I197" s="319">
        <f>-H198*インプット!$E104</f>
        <v>0</v>
      </c>
      <c r="J197" s="319">
        <f>-I198*インプット!$E104</f>
        <v>0</v>
      </c>
      <c r="K197" s="319">
        <f>-J198*インプット!$E104</f>
        <v>0</v>
      </c>
      <c r="L197" s="319">
        <f>-K198*インプット!$E104</f>
        <v>0</v>
      </c>
      <c r="M197" s="319">
        <f>-L198*インプット!$E104</f>
        <v>0</v>
      </c>
      <c r="N197" s="319">
        <f>-M198*インプット!$E104</f>
        <v>0</v>
      </c>
      <c r="O197" s="319">
        <f>-N198*インプット!$E104</f>
        <v>0</v>
      </c>
      <c r="P197" s="319">
        <f>-O198*インプット!$E104</f>
        <v>0</v>
      </c>
      <c r="Q197" s="319">
        <f>-P198*インプット!$E104</f>
        <v>0</v>
      </c>
      <c r="R197" s="319">
        <f>-Q198*インプット!$E104</f>
        <v>0</v>
      </c>
      <c r="S197" s="319">
        <f>-R198*インプット!$E104</f>
        <v>0</v>
      </c>
      <c r="T197" s="319">
        <f>-S198*インプット!$E104</f>
        <v>0</v>
      </c>
      <c r="U197" s="319">
        <f>-T198*インプット!$E104</f>
        <v>0</v>
      </c>
      <c r="V197" s="319">
        <f>-U198*インプット!$E104</f>
        <v>0</v>
      </c>
      <c r="W197" s="319">
        <f>-V198*インプット!$E104</f>
        <v>0</v>
      </c>
      <c r="X197" s="319">
        <f>-W198*インプット!$E104</f>
        <v>0</v>
      </c>
      <c r="Y197" s="319">
        <f>-X198*インプット!$E104</f>
        <v>0</v>
      </c>
      <c r="Z197" s="319">
        <f>-Y198*インプット!$E104</f>
        <v>0</v>
      </c>
      <c r="AA197" s="319">
        <f>-Z198*インプット!$E104</f>
        <v>0</v>
      </c>
      <c r="AB197" s="319">
        <f>-AA198*インプット!$E104</f>
        <v>0</v>
      </c>
      <c r="AC197" s="319">
        <f>-AB198*インプット!$E104</f>
        <v>0</v>
      </c>
      <c r="AD197" s="319">
        <f>-AC198*インプット!$E104</f>
        <v>0</v>
      </c>
      <c r="AE197" s="319">
        <f>-AD198*インプット!$E104</f>
        <v>0</v>
      </c>
      <c r="AF197" s="319">
        <f>-AE198*インプット!$E104</f>
        <v>0</v>
      </c>
      <c r="AG197" s="319">
        <f>-AF198*インプット!$E104</f>
        <v>0</v>
      </c>
      <c r="AH197" s="320">
        <f>-AG198*インプット!$E104</f>
        <v>0</v>
      </c>
    </row>
    <row r="198" spans="1:36" ht="13" thickBot="1" x14ac:dyDescent="0.3">
      <c r="A198" s="21"/>
      <c r="B198" s="313" t="s">
        <v>156</v>
      </c>
      <c r="C198" s="309" t="s">
        <v>37</v>
      </c>
      <c r="D198" s="314">
        <f>インプット!E102</f>
        <v>0</v>
      </c>
      <c r="E198" s="315">
        <f t="shared" ref="E198:AH198" si="84">D198+E196</f>
        <v>0</v>
      </c>
      <c r="F198" s="315">
        <f t="shared" si="84"/>
        <v>0</v>
      </c>
      <c r="G198" s="315">
        <f t="shared" si="84"/>
        <v>0</v>
      </c>
      <c r="H198" s="315">
        <f t="shared" si="84"/>
        <v>0</v>
      </c>
      <c r="I198" s="315">
        <f t="shared" si="84"/>
        <v>0</v>
      </c>
      <c r="J198" s="315">
        <f t="shared" si="84"/>
        <v>0</v>
      </c>
      <c r="K198" s="315">
        <f t="shared" si="84"/>
        <v>0</v>
      </c>
      <c r="L198" s="315">
        <f t="shared" si="84"/>
        <v>0</v>
      </c>
      <c r="M198" s="315">
        <f t="shared" si="84"/>
        <v>0</v>
      </c>
      <c r="N198" s="315">
        <f t="shared" si="84"/>
        <v>0</v>
      </c>
      <c r="O198" s="315">
        <f t="shared" si="84"/>
        <v>0</v>
      </c>
      <c r="P198" s="315">
        <f t="shared" si="84"/>
        <v>0</v>
      </c>
      <c r="Q198" s="315">
        <f t="shared" si="84"/>
        <v>0</v>
      </c>
      <c r="R198" s="315">
        <f t="shared" si="84"/>
        <v>0</v>
      </c>
      <c r="S198" s="315">
        <f t="shared" si="84"/>
        <v>0</v>
      </c>
      <c r="T198" s="315">
        <f t="shared" si="84"/>
        <v>0</v>
      </c>
      <c r="U198" s="315">
        <f t="shared" si="84"/>
        <v>0</v>
      </c>
      <c r="V198" s="315">
        <f t="shared" si="84"/>
        <v>0</v>
      </c>
      <c r="W198" s="315">
        <f t="shared" si="84"/>
        <v>0</v>
      </c>
      <c r="X198" s="315">
        <f t="shared" si="84"/>
        <v>0</v>
      </c>
      <c r="Y198" s="315">
        <f t="shared" si="84"/>
        <v>0</v>
      </c>
      <c r="Z198" s="315">
        <f t="shared" si="84"/>
        <v>0</v>
      </c>
      <c r="AA198" s="315">
        <f t="shared" si="84"/>
        <v>0</v>
      </c>
      <c r="AB198" s="315">
        <f t="shared" si="84"/>
        <v>0</v>
      </c>
      <c r="AC198" s="315">
        <f t="shared" si="84"/>
        <v>0</v>
      </c>
      <c r="AD198" s="315">
        <f t="shared" si="84"/>
        <v>0</v>
      </c>
      <c r="AE198" s="315">
        <f t="shared" si="84"/>
        <v>0</v>
      </c>
      <c r="AF198" s="315">
        <f t="shared" si="84"/>
        <v>0</v>
      </c>
      <c r="AG198" s="315">
        <f t="shared" si="84"/>
        <v>0</v>
      </c>
      <c r="AH198" s="316">
        <f t="shared" si="84"/>
        <v>0</v>
      </c>
    </row>
    <row r="199" spans="1:36" x14ac:dyDescent="0.25">
      <c r="C199" s="95"/>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I199" s="16"/>
    </row>
    <row r="200" spans="1:36" customFormat="1" ht="15" customHeight="1" thickBot="1" x14ac:dyDescent="0.25"/>
    <row r="201" spans="1:36" ht="13" thickBot="1" x14ac:dyDescent="0.3">
      <c r="A201" s="21"/>
      <c r="B201" s="290" t="s">
        <v>18</v>
      </c>
      <c r="C201" s="289"/>
      <c r="D201" s="28">
        <v>0</v>
      </c>
      <c r="E201" s="28">
        <v>1</v>
      </c>
      <c r="F201" s="28">
        <v>2</v>
      </c>
      <c r="G201" s="28">
        <v>3</v>
      </c>
      <c r="H201" s="28">
        <v>4</v>
      </c>
      <c r="I201" s="28">
        <v>5</v>
      </c>
      <c r="J201" s="28">
        <v>6</v>
      </c>
      <c r="K201" s="28">
        <v>7</v>
      </c>
      <c r="L201" s="28">
        <v>8</v>
      </c>
      <c r="M201" s="28">
        <v>9</v>
      </c>
      <c r="N201" s="28">
        <v>10</v>
      </c>
      <c r="O201" s="28">
        <v>11</v>
      </c>
      <c r="P201" s="28">
        <v>12</v>
      </c>
      <c r="Q201" s="28">
        <v>13</v>
      </c>
      <c r="R201" s="28">
        <v>14</v>
      </c>
      <c r="S201" s="28">
        <v>15</v>
      </c>
      <c r="T201" s="28">
        <v>16</v>
      </c>
      <c r="U201" s="28">
        <v>17</v>
      </c>
      <c r="V201" s="28">
        <v>18</v>
      </c>
      <c r="W201" s="28">
        <v>19</v>
      </c>
      <c r="X201" s="80">
        <v>20</v>
      </c>
      <c r="Y201" s="28">
        <v>21</v>
      </c>
      <c r="Z201" s="28">
        <v>22</v>
      </c>
      <c r="AA201" s="28">
        <v>23</v>
      </c>
      <c r="AB201" s="28">
        <v>24</v>
      </c>
      <c r="AC201" s="28">
        <v>25</v>
      </c>
      <c r="AD201" s="28">
        <v>26</v>
      </c>
      <c r="AE201" s="28">
        <v>27</v>
      </c>
      <c r="AF201" s="28">
        <v>28</v>
      </c>
      <c r="AG201" s="28">
        <v>29</v>
      </c>
      <c r="AH201" s="72">
        <v>30</v>
      </c>
      <c r="AI201" s="29" t="s">
        <v>160</v>
      </c>
    </row>
    <row r="202" spans="1:36" x14ac:dyDescent="0.25">
      <c r="A202" s="21"/>
      <c r="B202" s="201" t="s">
        <v>117</v>
      </c>
      <c r="C202" s="285" t="s">
        <v>70</v>
      </c>
      <c r="D202" s="278"/>
      <c r="E202" s="298">
        <f>E20</f>
        <v>4551377.6601562509</v>
      </c>
      <c r="F202" s="298">
        <f t="shared" ref="F202:AH202" si="85">F20</f>
        <v>4551377.6601562509</v>
      </c>
      <c r="G202" s="298">
        <f t="shared" si="85"/>
        <v>4551377.6601562509</v>
      </c>
      <c r="H202" s="298">
        <f t="shared" si="85"/>
        <v>4551377.6601562509</v>
      </c>
      <c r="I202" s="298">
        <f t="shared" si="85"/>
        <v>4551377.6601562509</v>
      </c>
      <c r="J202" s="298">
        <f t="shared" si="85"/>
        <v>4551377.6601562509</v>
      </c>
      <c r="K202" s="298">
        <f t="shared" si="85"/>
        <v>4551377.6601562509</v>
      </c>
      <c r="L202" s="298">
        <f t="shared" si="85"/>
        <v>4551377.6601562509</v>
      </c>
      <c r="M202" s="298">
        <f t="shared" si="85"/>
        <v>4551377.6601562509</v>
      </c>
      <c r="N202" s="298">
        <f t="shared" si="85"/>
        <v>4551377.6601562509</v>
      </c>
      <c r="O202" s="298">
        <f t="shared" si="85"/>
        <v>4551377.6601562509</v>
      </c>
      <c r="P202" s="298">
        <f t="shared" si="85"/>
        <v>4551377.6601562509</v>
      </c>
      <c r="Q202" s="298">
        <f t="shared" si="85"/>
        <v>4551377.6601562509</v>
      </c>
      <c r="R202" s="298">
        <f t="shared" si="85"/>
        <v>4551377.6601562509</v>
      </c>
      <c r="S202" s="298">
        <f t="shared" si="85"/>
        <v>4551377.6601562509</v>
      </c>
      <c r="T202" s="298">
        <f t="shared" si="85"/>
        <v>4551377.6601562509</v>
      </c>
      <c r="U202" s="298">
        <f t="shared" si="85"/>
        <v>4551377.6601562509</v>
      </c>
      <c r="V202" s="298">
        <f t="shared" si="85"/>
        <v>4551377.6601562509</v>
      </c>
      <c r="W202" s="298">
        <f t="shared" si="85"/>
        <v>4551377.6601562509</v>
      </c>
      <c r="X202" s="298">
        <f t="shared" si="85"/>
        <v>4551377.6601562509</v>
      </c>
      <c r="Y202" s="298">
        <f t="shared" si="85"/>
        <v>4551377.6601562509</v>
      </c>
      <c r="Z202" s="298">
        <f t="shared" si="85"/>
        <v>4551377.6601562509</v>
      </c>
      <c r="AA202" s="298">
        <f t="shared" si="85"/>
        <v>4551377.6601562509</v>
      </c>
      <c r="AB202" s="298">
        <f t="shared" si="85"/>
        <v>4551377.6601562509</v>
      </c>
      <c r="AC202" s="298">
        <f t="shared" si="85"/>
        <v>4551377.6601562509</v>
      </c>
      <c r="AD202" s="298">
        <f t="shared" si="85"/>
        <v>4551377.6601562509</v>
      </c>
      <c r="AE202" s="298">
        <f t="shared" si="85"/>
        <v>4551377.6601562509</v>
      </c>
      <c r="AF202" s="298">
        <f t="shared" si="85"/>
        <v>4551377.6601562509</v>
      </c>
      <c r="AG202" s="298">
        <f t="shared" si="85"/>
        <v>4551377.6601562509</v>
      </c>
      <c r="AH202" s="321">
        <f t="shared" si="85"/>
        <v>4551377.6601562509</v>
      </c>
      <c r="AI202" s="327">
        <f>SUM(D202:X202)</f>
        <v>91027553.203125015</v>
      </c>
    </row>
    <row r="203" spans="1:36" x14ac:dyDescent="0.25">
      <c r="A203" s="21"/>
      <c r="B203" s="654" t="s">
        <v>443</v>
      </c>
      <c r="C203" s="266"/>
      <c r="D203" s="651"/>
      <c r="E203" s="652">
        <f>E17</f>
        <v>68270664.902343765</v>
      </c>
      <c r="F203" s="652">
        <f t="shared" ref="F203:AH203" si="86">F17</f>
        <v>68270664.902343765</v>
      </c>
      <c r="G203" s="652">
        <f t="shared" si="86"/>
        <v>68270664.902343765</v>
      </c>
      <c r="H203" s="652">
        <f t="shared" si="86"/>
        <v>68270664.902343765</v>
      </c>
      <c r="I203" s="652">
        <f t="shared" si="86"/>
        <v>68270664.902343765</v>
      </c>
      <c r="J203" s="652">
        <f t="shared" si="86"/>
        <v>68270664.902343765</v>
      </c>
      <c r="K203" s="652">
        <f t="shared" si="86"/>
        <v>68270664.902343765</v>
      </c>
      <c r="L203" s="652">
        <f t="shared" si="86"/>
        <v>68270664.902343765</v>
      </c>
      <c r="M203" s="652">
        <f t="shared" si="86"/>
        <v>68270664.902343765</v>
      </c>
      <c r="N203" s="652">
        <f t="shared" si="86"/>
        <v>68270664.902343765</v>
      </c>
      <c r="O203" s="652">
        <f t="shared" si="86"/>
        <v>68270664.902343765</v>
      </c>
      <c r="P203" s="652">
        <f t="shared" si="86"/>
        <v>68270664.902343765</v>
      </c>
      <c r="Q203" s="652">
        <f t="shared" si="86"/>
        <v>68270664.902343765</v>
      </c>
      <c r="R203" s="652">
        <f t="shared" si="86"/>
        <v>68270664.902343765</v>
      </c>
      <c r="S203" s="652">
        <f t="shared" si="86"/>
        <v>68270664.902343765</v>
      </c>
      <c r="T203" s="652">
        <f t="shared" si="86"/>
        <v>68270664.902343765</v>
      </c>
      <c r="U203" s="652">
        <f t="shared" si="86"/>
        <v>68270664.902343765</v>
      </c>
      <c r="V203" s="652">
        <f t="shared" si="86"/>
        <v>68270664.902343765</v>
      </c>
      <c r="W203" s="652">
        <f t="shared" si="86"/>
        <v>68270664.902343765</v>
      </c>
      <c r="X203" s="652">
        <f t="shared" si="86"/>
        <v>68270664.902343765</v>
      </c>
      <c r="Y203" s="652">
        <f t="shared" si="86"/>
        <v>68270664.902343765</v>
      </c>
      <c r="Z203" s="652">
        <f t="shared" si="86"/>
        <v>68270664.902343765</v>
      </c>
      <c r="AA203" s="652">
        <f t="shared" si="86"/>
        <v>68270664.902343765</v>
      </c>
      <c r="AB203" s="652">
        <f t="shared" si="86"/>
        <v>68270664.902343765</v>
      </c>
      <c r="AC203" s="652">
        <f t="shared" si="86"/>
        <v>68270664.902343765</v>
      </c>
      <c r="AD203" s="652">
        <f t="shared" si="86"/>
        <v>68270664.902343765</v>
      </c>
      <c r="AE203" s="652">
        <f t="shared" si="86"/>
        <v>68270664.902343765</v>
      </c>
      <c r="AF203" s="652">
        <f t="shared" si="86"/>
        <v>68270664.902343765</v>
      </c>
      <c r="AG203" s="652">
        <f t="shared" si="86"/>
        <v>68270664.902343765</v>
      </c>
      <c r="AH203" s="653">
        <f t="shared" si="86"/>
        <v>68270664.902343765</v>
      </c>
      <c r="AI203" s="371">
        <f t="shared" ref="AI203:AI211" si="87">SUM(D203:X203)</f>
        <v>1365413298.0468752</v>
      </c>
      <c r="AJ203" s="16">
        <f>AI203/20</f>
        <v>68270664.902343765</v>
      </c>
    </row>
    <row r="204" spans="1:36" x14ac:dyDescent="0.25">
      <c r="A204" s="21"/>
      <c r="B204" s="654" t="s">
        <v>445</v>
      </c>
      <c r="C204" s="266" t="s">
        <v>448</v>
      </c>
      <c r="D204" s="651"/>
      <c r="E204" s="652">
        <f>E25</f>
        <v>0</v>
      </c>
      <c r="F204" s="652">
        <f t="shared" ref="F204:AH204" si="88">F25</f>
        <v>0</v>
      </c>
      <c r="G204" s="652">
        <f t="shared" si="88"/>
        <v>0</v>
      </c>
      <c r="H204" s="652">
        <f t="shared" si="88"/>
        <v>0</v>
      </c>
      <c r="I204" s="652">
        <f t="shared" si="88"/>
        <v>0</v>
      </c>
      <c r="J204" s="652">
        <f t="shared" si="88"/>
        <v>0</v>
      </c>
      <c r="K204" s="652">
        <f t="shared" si="88"/>
        <v>0</v>
      </c>
      <c r="L204" s="652">
        <f t="shared" si="88"/>
        <v>0</v>
      </c>
      <c r="M204" s="652">
        <f t="shared" si="88"/>
        <v>0</v>
      </c>
      <c r="N204" s="652">
        <f t="shared" si="88"/>
        <v>0</v>
      </c>
      <c r="O204" s="652">
        <f t="shared" si="88"/>
        <v>0</v>
      </c>
      <c r="P204" s="652">
        <f t="shared" si="88"/>
        <v>0</v>
      </c>
      <c r="Q204" s="652">
        <f t="shared" si="88"/>
        <v>0</v>
      </c>
      <c r="R204" s="652">
        <f t="shared" si="88"/>
        <v>0</v>
      </c>
      <c r="S204" s="652">
        <f t="shared" si="88"/>
        <v>0</v>
      </c>
      <c r="T204" s="652">
        <f t="shared" si="88"/>
        <v>0</v>
      </c>
      <c r="U204" s="652">
        <f t="shared" si="88"/>
        <v>0</v>
      </c>
      <c r="V204" s="652">
        <f t="shared" si="88"/>
        <v>0</v>
      </c>
      <c r="W204" s="652">
        <f t="shared" si="88"/>
        <v>0</v>
      </c>
      <c r="X204" s="652">
        <f t="shared" si="88"/>
        <v>0</v>
      </c>
      <c r="Y204" s="652">
        <f t="shared" si="88"/>
        <v>0</v>
      </c>
      <c r="Z204" s="652">
        <f t="shared" si="88"/>
        <v>0</v>
      </c>
      <c r="AA204" s="652">
        <f t="shared" si="88"/>
        <v>0</v>
      </c>
      <c r="AB204" s="652">
        <f t="shared" si="88"/>
        <v>0</v>
      </c>
      <c r="AC204" s="652">
        <f t="shared" si="88"/>
        <v>0</v>
      </c>
      <c r="AD204" s="652">
        <f t="shared" si="88"/>
        <v>0</v>
      </c>
      <c r="AE204" s="652">
        <f t="shared" si="88"/>
        <v>0</v>
      </c>
      <c r="AF204" s="652">
        <f t="shared" si="88"/>
        <v>0</v>
      </c>
      <c r="AG204" s="652">
        <f t="shared" si="88"/>
        <v>0</v>
      </c>
      <c r="AH204" s="653">
        <f t="shared" si="88"/>
        <v>0</v>
      </c>
      <c r="AI204" s="371">
        <f t="shared" si="87"/>
        <v>0</v>
      </c>
    </row>
    <row r="205" spans="1:36" x14ac:dyDescent="0.25">
      <c r="A205" s="21"/>
      <c r="B205" s="654" t="s">
        <v>444</v>
      </c>
      <c r="C205" s="650" t="s">
        <v>447</v>
      </c>
      <c r="D205" s="651"/>
      <c r="E205" s="652">
        <f>E22</f>
        <v>0</v>
      </c>
      <c r="F205" s="652">
        <f t="shared" ref="F205:AH205" si="89">F22</f>
        <v>0</v>
      </c>
      <c r="G205" s="652">
        <f t="shared" si="89"/>
        <v>0</v>
      </c>
      <c r="H205" s="652">
        <f t="shared" si="89"/>
        <v>0</v>
      </c>
      <c r="I205" s="652">
        <f t="shared" si="89"/>
        <v>0</v>
      </c>
      <c r="J205" s="652">
        <f t="shared" si="89"/>
        <v>0</v>
      </c>
      <c r="K205" s="652">
        <f t="shared" si="89"/>
        <v>0</v>
      </c>
      <c r="L205" s="652">
        <f t="shared" si="89"/>
        <v>0</v>
      </c>
      <c r="M205" s="652">
        <f t="shared" si="89"/>
        <v>0</v>
      </c>
      <c r="N205" s="652">
        <f t="shared" si="89"/>
        <v>0</v>
      </c>
      <c r="O205" s="652">
        <f t="shared" si="89"/>
        <v>0</v>
      </c>
      <c r="P205" s="652">
        <f t="shared" si="89"/>
        <v>0</v>
      </c>
      <c r="Q205" s="652">
        <f t="shared" si="89"/>
        <v>0</v>
      </c>
      <c r="R205" s="652">
        <f t="shared" si="89"/>
        <v>0</v>
      </c>
      <c r="S205" s="652">
        <f t="shared" si="89"/>
        <v>0</v>
      </c>
      <c r="T205" s="652">
        <f t="shared" si="89"/>
        <v>0</v>
      </c>
      <c r="U205" s="652">
        <f t="shared" si="89"/>
        <v>0</v>
      </c>
      <c r="V205" s="652">
        <f t="shared" si="89"/>
        <v>0</v>
      </c>
      <c r="W205" s="652">
        <f t="shared" si="89"/>
        <v>0</v>
      </c>
      <c r="X205" s="652">
        <f t="shared" si="89"/>
        <v>0</v>
      </c>
      <c r="Y205" s="652">
        <f t="shared" si="89"/>
        <v>0</v>
      </c>
      <c r="Z205" s="652">
        <f t="shared" si="89"/>
        <v>0</v>
      </c>
      <c r="AA205" s="652">
        <f t="shared" si="89"/>
        <v>0</v>
      </c>
      <c r="AB205" s="652">
        <f t="shared" si="89"/>
        <v>0</v>
      </c>
      <c r="AC205" s="652">
        <f t="shared" si="89"/>
        <v>0</v>
      </c>
      <c r="AD205" s="652">
        <f t="shared" si="89"/>
        <v>0</v>
      </c>
      <c r="AE205" s="652">
        <f t="shared" si="89"/>
        <v>0</v>
      </c>
      <c r="AF205" s="652">
        <f t="shared" si="89"/>
        <v>0</v>
      </c>
      <c r="AG205" s="652">
        <f t="shared" si="89"/>
        <v>0</v>
      </c>
      <c r="AH205" s="653">
        <f t="shared" si="89"/>
        <v>0</v>
      </c>
      <c r="AI205" s="371">
        <f t="shared" si="87"/>
        <v>0</v>
      </c>
    </row>
    <row r="206" spans="1:36" x14ac:dyDescent="0.25">
      <c r="A206" s="21"/>
      <c r="B206" s="654" t="str">
        <f>インプット!$A$18&amp;インプット!B18&amp;"収益"</f>
        <v>その他収益液肥収益</v>
      </c>
      <c r="C206" s="650" t="s">
        <v>447</v>
      </c>
      <c r="D206" s="651"/>
      <c r="E206" s="652">
        <f>E27</f>
        <v>0</v>
      </c>
      <c r="F206" s="652">
        <f t="shared" ref="F206:AH206" si="90">F27</f>
        <v>0</v>
      </c>
      <c r="G206" s="652">
        <f t="shared" si="90"/>
        <v>0</v>
      </c>
      <c r="H206" s="652">
        <f t="shared" si="90"/>
        <v>0</v>
      </c>
      <c r="I206" s="652">
        <f t="shared" si="90"/>
        <v>0</v>
      </c>
      <c r="J206" s="652">
        <f t="shared" si="90"/>
        <v>0</v>
      </c>
      <c r="K206" s="652">
        <f t="shared" si="90"/>
        <v>0</v>
      </c>
      <c r="L206" s="652">
        <f t="shared" si="90"/>
        <v>0</v>
      </c>
      <c r="M206" s="652">
        <f t="shared" si="90"/>
        <v>0</v>
      </c>
      <c r="N206" s="652">
        <f t="shared" si="90"/>
        <v>0</v>
      </c>
      <c r="O206" s="652">
        <f t="shared" si="90"/>
        <v>0</v>
      </c>
      <c r="P206" s="652">
        <f t="shared" si="90"/>
        <v>0</v>
      </c>
      <c r="Q206" s="652">
        <f t="shared" si="90"/>
        <v>0</v>
      </c>
      <c r="R206" s="652">
        <f t="shared" si="90"/>
        <v>0</v>
      </c>
      <c r="S206" s="652">
        <f t="shared" si="90"/>
        <v>0</v>
      </c>
      <c r="T206" s="652">
        <f t="shared" si="90"/>
        <v>0</v>
      </c>
      <c r="U206" s="652">
        <f t="shared" si="90"/>
        <v>0</v>
      </c>
      <c r="V206" s="652">
        <f t="shared" si="90"/>
        <v>0</v>
      </c>
      <c r="W206" s="652">
        <f t="shared" si="90"/>
        <v>0</v>
      </c>
      <c r="X206" s="652">
        <f t="shared" si="90"/>
        <v>0</v>
      </c>
      <c r="Y206" s="652">
        <f t="shared" si="90"/>
        <v>0</v>
      </c>
      <c r="Z206" s="652">
        <f t="shared" si="90"/>
        <v>0</v>
      </c>
      <c r="AA206" s="652">
        <f t="shared" si="90"/>
        <v>0</v>
      </c>
      <c r="AB206" s="652">
        <f t="shared" si="90"/>
        <v>0</v>
      </c>
      <c r="AC206" s="652">
        <f t="shared" si="90"/>
        <v>0</v>
      </c>
      <c r="AD206" s="652">
        <f t="shared" si="90"/>
        <v>0</v>
      </c>
      <c r="AE206" s="652">
        <f t="shared" si="90"/>
        <v>0</v>
      </c>
      <c r="AF206" s="652">
        <f t="shared" si="90"/>
        <v>0</v>
      </c>
      <c r="AG206" s="652">
        <f t="shared" si="90"/>
        <v>0</v>
      </c>
      <c r="AH206" s="653">
        <f t="shared" si="90"/>
        <v>0</v>
      </c>
      <c r="AI206" s="371">
        <f t="shared" si="87"/>
        <v>0</v>
      </c>
    </row>
    <row r="207" spans="1:36" x14ac:dyDescent="0.25">
      <c r="A207" s="21"/>
      <c r="B207" s="654" t="str">
        <f>インプット!A20&amp;インプット!B20&amp;"収益"</f>
        <v>その他収益②堆肥収益</v>
      </c>
      <c r="C207" s="650" t="s">
        <v>447</v>
      </c>
      <c r="D207" s="651"/>
      <c r="E207" s="652">
        <f>E30</f>
        <v>0</v>
      </c>
      <c r="F207" s="652">
        <f t="shared" ref="F207:AH207" si="91">F30</f>
        <v>0</v>
      </c>
      <c r="G207" s="652">
        <f t="shared" si="91"/>
        <v>0</v>
      </c>
      <c r="H207" s="652">
        <f t="shared" si="91"/>
        <v>0</v>
      </c>
      <c r="I207" s="652">
        <f t="shared" si="91"/>
        <v>0</v>
      </c>
      <c r="J207" s="652">
        <f t="shared" si="91"/>
        <v>0</v>
      </c>
      <c r="K207" s="652">
        <f t="shared" si="91"/>
        <v>0</v>
      </c>
      <c r="L207" s="652">
        <f t="shared" si="91"/>
        <v>0</v>
      </c>
      <c r="M207" s="652">
        <f t="shared" si="91"/>
        <v>0</v>
      </c>
      <c r="N207" s="652">
        <f t="shared" si="91"/>
        <v>0</v>
      </c>
      <c r="O207" s="652">
        <f t="shared" si="91"/>
        <v>0</v>
      </c>
      <c r="P207" s="652">
        <f t="shared" si="91"/>
        <v>0</v>
      </c>
      <c r="Q207" s="652">
        <f t="shared" si="91"/>
        <v>0</v>
      </c>
      <c r="R207" s="652">
        <f t="shared" si="91"/>
        <v>0</v>
      </c>
      <c r="S207" s="652">
        <f t="shared" si="91"/>
        <v>0</v>
      </c>
      <c r="T207" s="652">
        <f t="shared" si="91"/>
        <v>0</v>
      </c>
      <c r="U207" s="652">
        <f t="shared" si="91"/>
        <v>0</v>
      </c>
      <c r="V207" s="652">
        <f t="shared" si="91"/>
        <v>0</v>
      </c>
      <c r="W207" s="652">
        <f t="shared" si="91"/>
        <v>0</v>
      </c>
      <c r="X207" s="652">
        <f t="shared" si="91"/>
        <v>0</v>
      </c>
      <c r="Y207" s="652">
        <f t="shared" si="91"/>
        <v>0</v>
      </c>
      <c r="Z207" s="652">
        <f t="shared" si="91"/>
        <v>0</v>
      </c>
      <c r="AA207" s="652">
        <f t="shared" si="91"/>
        <v>0</v>
      </c>
      <c r="AB207" s="652">
        <f t="shared" si="91"/>
        <v>0</v>
      </c>
      <c r="AC207" s="652">
        <f t="shared" si="91"/>
        <v>0</v>
      </c>
      <c r="AD207" s="652">
        <f t="shared" si="91"/>
        <v>0</v>
      </c>
      <c r="AE207" s="652">
        <f t="shared" si="91"/>
        <v>0</v>
      </c>
      <c r="AF207" s="652">
        <f t="shared" si="91"/>
        <v>0</v>
      </c>
      <c r="AG207" s="652">
        <f t="shared" si="91"/>
        <v>0</v>
      </c>
      <c r="AH207" s="653">
        <f t="shared" si="91"/>
        <v>0</v>
      </c>
      <c r="AI207" s="371">
        <f t="shared" si="87"/>
        <v>0</v>
      </c>
    </row>
    <row r="208" spans="1:36" x14ac:dyDescent="0.25">
      <c r="A208" s="21"/>
      <c r="B208" s="654" t="str">
        <f>インプット!A22&amp;インプット!B22&amp;"収益"</f>
        <v>その他収益③その他①収益</v>
      </c>
      <c r="C208" s="650" t="s">
        <v>447</v>
      </c>
      <c r="D208" s="651"/>
      <c r="E208" s="652">
        <f>E33</f>
        <v>0</v>
      </c>
      <c r="F208" s="652">
        <f t="shared" ref="F208:AH208" si="92">F33</f>
        <v>0</v>
      </c>
      <c r="G208" s="652">
        <f t="shared" si="92"/>
        <v>0</v>
      </c>
      <c r="H208" s="652">
        <f t="shared" si="92"/>
        <v>0</v>
      </c>
      <c r="I208" s="652">
        <f t="shared" si="92"/>
        <v>0</v>
      </c>
      <c r="J208" s="652">
        <f t="shared" si="92"/>
        <v>0</v>
      </c>
      <c r="K208" s="652">
        <f t="shared" si="92"/>
        <v>0</v>
      </c>
      <c r="L208" s="652">
        <f t="shared" si="92"/>
        <v>0</v>
      </c>
      <c r="M208" s="652">
        <f t="shared" si="92"/>
        <v>0</v>
      </c>
      <c r="N208" s="652">
        <f t="shared" si="92"/>
        <v>0</v>
      </c>
      <c r="O208" s="652">
        <f t="shared" si="92"/>
        <v>0</v>
      </c>
      <c r="P208" s="652">
        <f t="shared" si="92"/>
        <v>0</v>
      </c>
      <c r="Q208" s="652">
        <f t="shared" si="92"/>
        <v>0</v>
      </c>
      <c r="R208" s="652">
        <f t="shared" si="92"/>
        <v>0</v>
      </c>
      <c r="S208" s="652">
        <f t="shared" si="92"/>
        <v>0</v>
      </c>
      <c r="T208" s="652">
        <f t="shared" si="92"/>
        <v>0</v>
      </c>
      <c r="U208" s="652">
        <f t="shared" si="92"/>
        <v>0</v>
      </c>
      <c r="V208" s="652">
        <f t="shared" si="92"/>
        <v>0</v>
      </c>
      <c r="W208" s="652">
        <f t="shared" si="92"/>
        <v>0</v>
      </c>
      <c r="X208" s="652">
        <f t="shared" si="92"/>
        <v>0</v>
      </c>
      <c r="Y208" s="652">
        <f t="shared" si="92"/>
        <v>0</v>
      </c>
      <c r="Z208" s="652">
        <f t="shared" si="92"/>
        <v>0</v>
      </c>
      <c r="AA208" s="652">
        <f t="shared" si="92"/>
        <v>0</v>
      </c>
      <c r="AB208" s="652">
        <f t="shared" si="92"/>
        <v>0</v>
      </c>
      <c r="AC208" s="652">
        <f t="shared" si="92"/>
        <v>0</v>
      </c>
      <c r="AD208" s="652">
        <f t="shared" si="92"/>
        <v>0</v>
      </c>
      <c r="AE208" s="652">
        <f t="shared" si="92"/>
        <v>0</v>
      </c>
      <c r="AF208" s="652">
        <f t="shared" si="92"/>
        <v>0</v>
      </c>
      <c r="AG208" s="652">
        <f t="shared" si="92"/>
        <v>0</v>
      </c>
      <c r="AH208" s="653">
        <f t="shared" si="92"/>
        <v>0</v>
      </c>
      <c r="AI208" s="371">
        <f t="shared" si="87"/>
        <v>0</v>
      </c>
      <c r="AJ208" s="16">
        <f>AI208/20</f>
        <v>0</v>
      </c>
    </row>
    <row r="209" spans="1:39" x14ac:dyDescent="0.25">
      <c r="A209" s="21"/>
      <c r="B209" s="654" t="str">
        <f>インプット!A24&amp;インプット!B24&amp;"収益"</f>
        <v>その他収益④その他②収益</v>
      </c>
      <c r="C209" s="650" t="s">
        <v>447</v>
      </c>
      <c r="D209" s="651"/>
      <c r="E209" s="652">
        <f>E36</f>
        <v>0</v>
      </c>
      <c r="F209" s="652">
        <f t="shared" ref="F209:AH209" si="93">F36</f>
        <v>0</v>
      </c>
      <c r="G209" s="652">
        <f t="shared" si="93"/>
        <v>0</v>
      </c>
      <c r="H209" s="652">
        <f t="shared" si="93"/>
        <v>0</v>
      </c>
      <c r="I209" s="652">
        <f t="shared" si="93"/>
        <v>0</v>
      </c>
      <c r="J209" s="652">
        <f t="shared" si="93"/>
        <v>0</v>
      </c>
      <c r="K209" s="652">
        <f t="shared" si="93"/>
        <v>0</v>
      </c>
      <c r="L209" s="652">
        <f t="shared" si="93"/>
        <v>0</v>
      </c>
      <c r="M209" s="652">
        <f t="shared" si="93"/>
        <v>0</v>
      </c>
      <c r="N209" s="652">
        <f t="shared" si="93"/>
        <v>0</v>
      </c>
      <c r="O209" s="652">
        <f t="shared" si="93"/>
        <v>0</v>
      </c>
      <c r="P209" s="652">
        <f t="shared" si="93"/>
        <v>0</v>
      </c>
      <c r="Q209" s="652">
        <f t="shared" si="93"/>
        <v>0</v>
      </c>
      <c r="R209" s="652">
        <f t="shared" si="93"/>
        <v>0</v>
      </c>
      <c r="S209" s="652">
        <f t="shared" si="93"/>
        <v>0</v>
      </c>
      <c r="T209" s="652">
        <f t="shared" si="93"/>
        <v>0</v>
      </c>
      <c r="U209" s="652">
        <f t="shared" si="93"/>
        <v>0</v>
      </c>
      <c r="V209" s="652">
        <f t="shared" si="93"/>
        <v>0</v>
      </c>
      <c r="W209" s="652">
        <f t="shared" si="93"/>
        <v>0</v>
      </c>
      <c r="X209" s="652">
        <f t="shared" si="93"/>
        <v>0</v>
      </c>
      <c r="Y209" s="652">
        <f t="shared" si="93"/>
        <v>0</v>
      </c>
      <c r="Z209" s="652">
        <f t="shared" si="93"/>
        <v>0</v>
      </c>
      <c r="AA209" s="652">
        <f t="shared" si="93"/>
        <v>0</v>
      </c>
      <c r="AB209" s="652">
        <f t="shared" si="93"/>
        <v>0</v>
      </c>
      <c r="AC209" s="652">
        <f t="shared" si="93"/>
        <v>0</v>
      </c>
      <c r="AD209" s="652">
        <f t="shared" si="93"/>
        <v>0</v>
      </c>
      <c r="AE209" s="652">
        <f t="shared" si="93"/>
        <v>0</v>
      </c>
      <c r="AF209" s="652">
        <f t="shared" si="93"/>
        <v>0</v>
      </c>
      <c r="AG209" s="652">
        <f t="shared" si="93"/>
        <v>0</v>
      </c>
      <c r="AH209" s="653">
        <f t="shared" si="93"/>
        <v>0</v>
      </c>
      <c r="AI209" s="371">
        <f t="shared" si="87"/>
        <v>0</v>
      </c>
    </row>
    <row r="210" spans="1:39" x14ac:dyDescent="0.25">
      <c r="A210" s="21"/>
      <c r="B210" s="654" t="str">
        <f>インプット!A26&amp;インプット!B26&amp;"収益"</f>
        <v>その他収益⑤その他③収益</v>
      </c>
      <c r="C210" s="650" t="s">
        <v>447</v>
      </c>
      <c r="D210" s="651"/>
      <c r="E210" s="652">
        <f>E39</f>
        <v>330000</v>
      </c>
      <c r="F210" s="652">
        <f t="shared" ref="F210:AH210" si="94">F39</f>
        <v>330000</v>
      </c>
      <c r="G210" s="652">
        <f t="shared" si="94"/>
        <v>330000</v>
      </c>
      <c r="H210" s="652">
        <f t="shared" si="94"/>
        <v>330000</v>
      </c>
      <c r="I210" s="652">
        <f t="shared" si="94"/>
        <v>330000</v>
      </c>
      <c r="J210" s="652">
        <f t="shared" si="94"/>
        <v>330000</v>
      </c>
      <c r="K210" s="652">
        <f t="shared" si="94"/>
        <v>330000</v>
      </c>
      <c r="L210" s="652">
        <f t="shared" si="94"/>
        <v>330000</v>
      </c>
      <c r="M210" s="652">
        <f t="shared" si="94"/>
        <v>330000</v>
      </c>
      <c r="N210" s="652">
        <f t="shared" si="94"/>
        <v>330000</v>
      </c>
      <c r="O210" s="652">
        <f t="shared" si="94"/>
        <v>330000</v>
      </c>
      <c r="P210" s="652">
        <f t="shared" si="94"/>
        <v>330000</v>
      </c>
      <c r="Q210" s="652">
        <f t="shared" si="94"/>
        <v>330000</v>
      </c>
      <c r="R210" s="652">
        <f t="shared" si="94"/>
        <v>330000</v>
      </c>
      <c r="S210" s="652">
        <f t="shared" si="94"/>
        <v>330000</v>
      </c>
      <c r="T210" s="652">
        <f t="shared" si="94"/>
        <v>330000</v>
      </c>
      <c r="U210" s="652">
        <f t="shared" si="94"/>
        <v>330000</v>
      </c>
      <c r="V210" s="652">
        <f t="shared" si="94"/>
        <v>330000</v>
      </c>
      <c r="W210" s="652">
        <f t="shared" si="94"/>
        <v>330000</v>
      </c>
      <c r="X210" s="652">
        <f t="shared" si="94"/>
        <v>330000</v>
      </c>
      <c r="Y210" s="652">
        <f t="shared" si="94"/>
        <v>330000</v>
      </c>
      <c r="Z210" s="652">
        <f t="shared" si="94"/>
        <v>330000</v>
      </c>
      <c r="AA210" s="652">
        <f t="shared" si="94"/>
        <v>330000</v>
      </c>
      <c r="AB210" s="652">
        <f t="shared" si="94"/>
        <v>330000</v>
      </c>
      <c r="AC210" s="652">
        <f t="shared" si="94"/>
        <v>330000</v>
      </c>
      <c r="AD210" s="652">
        <f t="shared" si="94"/>
        <v>330000</v>
      </c>
      <c r="AE210" s="652">
        <f t="shared" si="94"/>
        <v>330000</v>
      </c>
      <c r="AF210" s="652">
        <f t="shared" si="94"/>
        <v>330000</v>
      </c>
      <c r="AG210" s="652">
        <f t="shared" si="94"/>
        <v>330000</v>
      </c>
      <c r="AH210" s="653">
        <f t="shared" si="94"/>
        <v>330000</v>
      </c>
      <c r="AI210" s="371">
        <f t="shared" si="87"/>
        <v>6600000</v>
      </c>
    </row>
    <row r="211" spans="1:39" x14ac:dyDescent="0.25">
      <c r="A211" s="21"/>
      <c r="B211" s="654" t="s">
        <v>446</v>
      </c>
      <c r="C211" s="650" t="s">
        <v>447</v>
      </c>
      <c r="D211" s="651">
        <f>D120</f>
        <v>0</v>
      </c>
      <c r="E211" s="651">
        <f>E120</f>
        <v>0</v>
      </c>
      <c r="F211" s="652">
        <f t="shared" ref="F211:AH211" si="95">F120</f>
        <v>0</v>
      </c>
      <c r="G211" s="652">
        <f t="shared" si="95"/>
        <v>0</v>
      </c>
      <c r="H211" s="652">
        <f t="shared" si="95"/>
        <v>0</v>
      </c>
      <c r="I211" s="652">
        <f t="shared" si="95"/>
        <v>0</v>
      </c>
      <c r="J211" s="652">
        <f t="shared" si="95"/>
        <v>0</v>
      </c>
      <c r="K211" s="652">
        <f t="shared" si="95"/>
        <v>0</v>
      </c>
      <c r="L211" s="652">
        <f t="shared" si="95"/>
        <v>0</v>
      </c>
      <c r="M211" s="652">
        <f t="shared" si="95"/>
        <v>0</v>
      </c>
      <c r="N211" s="652">
        <f t="shared" si="95"/>
        <v>0</v>
      </c>
      <c r="O211" s="652">
        <f t="shared" si="95"/>
        <v>0</v>
      </c>
      <c r="P211" s="652">
        <f t="shared" si="95"/>
        <v>0</v>
      </c>
      <c r="Q211" s="652">
        <f t="shared" si="95"/>
        <v>0</v>
      </c>
      <c r="R211" s="652">
        <f t="shared" si="95"/>
        <v>0</v>
      </c>
      <c r="S211" s="652">
        <f t="shared" si="95"/>
        <v>0</v>
      </c>
      <c r="T211" s="652">
        <f t="shared" si="95"/>
        <v>0</v>
      </c>
      <c r="U211" s="652">
        <f t="shared" si="95"/>
        <v>0</v>
      </c>
      <c r="V211" s="652">
        <f t="shared" si="95"/>
        <v>0</v>
      </c>
      <c r="W211" s="652">
        <f t="shared" si="95"/>
        <v>0</v>
      </c>
      <c r="X211" s="652">
        <f t="shared" si="95"/>
        <v>0</v>
      </c>
      <c r="Y211" s="652">
        <f t="shared" si="95"/>
        <v>0</v>
      </c>
      <c r="Z211" s="652">
        <f t="shared" si="95"/>
        <v>0</v>
      </c>
      <c r="AA211" s="652">
        <f t="shared" si="95"/>
        <v>0</v>
      </c>
      <c r="AB211" s="652">
        <f t="shared" si="95"/>
        <v>0</v>
      </c>
      <c r="AC211" s="652">
        <f t="shared" si="95"/>
        <v>0</v>
      </c>
      <c r="AD211" s="652">
        <f t="shared" si="95"/>
        <v>0</v>
      </c>
      <c r="AE211" s="652">
        <f t="shared" si="95"/>
        <v>0</v>
      </c>
      <c r="AF211" s="652">
        <f t="shared" si="95"/>
        <v>0</v>
      </c>
      <c r="AG211" s="652">
        <f t="shared" si="95"/>
        <v>0</v>
      </c>
      <c r="AH211" s="653">
        <f t="shared" si="95"/>
        <v>0</v>
      </c>
      <c r="AI211" s="371">
        <f t="shared" si="87"/>
        <v>0</v>
      </c>
    </row>
    <row r="212" spans="1:39" ht="13" thickBot="1" x14ac:dyDescent="0.3">
      <c r="A212" s="21"/>
      <c r="B212" s="272" t="s">
        <v>118</v>
      </c>
      <c r="C212" s="273" t="s">
        <v>70</v>
      </c>
      <c r="D212" s="279"/>
      <c r="E212" s="291">
        <f>E202+E204</f>
        <v>4551377.6601562509</v>
      </c>
      <c r="F212" s="291">
        <f t="shared" ref="F212:AH212" si="96">F202+F204</f>
        <v>4551377.6601562509</v>
      </c>
      <c r="G212" s="291">
        <f t="shared" si="96"/>
        <v>4551377.6601562509</v>
      </c>
      <c r="H212" s="291">
        <f t="shared" si="96"/>
        <v>4551377.6601562509</v>
      </c>
      <c r="I212" s="291">
        <f t="shared" si="96"/>
        <v>4551377.6601562509</v>
      </c>
      <c r="J212" s="291">
        <f t="shared" si="96"/>
        <v>4551377.6601562509</v>
      </c>
      <c r="K212" s="291">
        <f t="shared" si="96"/>
        <v>4551377.6601562509</v>
      </c>
      <c r="L212" s="291">
        <f t="shared" si="96"/>
        <v>4551377.6601562509</v>
      </c>
      <c r="M212" s="291">
        <f t="shared" si="96"/>
        <v>4551377.6601562509</v>
      </c>
      <c r="N212" s="291">
        <f t="shared" si="96"/>
        <v>4551377.6601562509</v>
      </c>
      <c r="O212" s="291">
        <f t="shared" si="96"/>
        <v>4551377.6601562509</v>
      </c>
      <c r="P212" s="291">
        <f t="shared" si="96"/>
        <v>4551377.6601562509</v>
      </c>
      <c r="Q212" s="291">
        <f t="shared" si="96"/>
        <v>4551377.6601562509</v>
      </c>
      <c r="R212" s="291">
        <f t="shared" si="96"/>
        <v>4551377.6601562509</v>
      </c>
      <c r="S212" s="291">
        <f t="shared" si="96"/>
        <v>4551377.6601562509</v>
      </c>
      <c r="T212" s="291">
        <f t="shared" si="96"/>
        <v>4551377.6601562509</v>
      </c>
      <c r="U212" s="291">
        <f t="shared" si="96"/>
        <v>4551377.6601562509</v>
      </c>
      <c r="V212" s="291">
        <f t="shared" si="96"/>
        <v>4551377.6601562509</v>
      </c>
      <c r="W212" s="291">
        <f t="shared" si="96"/>
        <v>4551377.6601562509</v>
      </c>
      <c r="X212" s="291">
        <f t="shared" si="96"/>
        <v>4551377.6601562509</v>
      </c>
      <c r="Y212" s="291">
        <f t="shared" si="96"/>
        <v>4551377.6601562509</v>
      </c>
      <c r="Z212" s="291">
        <f t="shared" si="96"/>
        <v>4551377.6601562509</v>
      </c>
      <c r="AA212" s="291">
        <f t="shared" si="96"/>
        <v>4551377.6601562509</v>
      </c>
      <c r="AB212" s="291">
        <f t="shared" si="96"/>
        <v>4551377.6601562509</v>
      </c>
      <c r="AC212" s="291">
        <f t="shared" si="96"/>
        <v>4551377.6601562509</v>
      </c>
      <c r="AD212" s="291">
        <f t="shared" si="96"/>
        <v>4551377.6601562509</v>
      </c>
      <c r="AE212" s="291">
        <f t="shared" si="96"/>
        <v>4551377.6601562509</v>
      </c>
      <c r="AF212" s="291">
        <f t="shared" si="96"/>
        <v>4551377.6601562509</v>
      </c>
      <c r="AG212" s="291">
        <f t="shared" si="96"/>
        <v>4551377.6601562509</v>
      </c>
      <c r="AH212" s="323">
        <f t="shared" si="96"/>
        <v>4551377.6601562509</v>
      </c>
      <c r="AI212" s="328">
        <f>SUM(E212:X212)</f>
        <v>91027553.203125015</v>
      </c>
    </row>
    <row r="213" spans="1:39" ht="13" thickBot="1" x14ac:dyDescent="0.3">
      <c r="A213" s="21"/>
      <c r="B213" s="300" t="s">
        <v>121</v>
      </c>
      <c r="C213" s="289"/>
      <c r="D213" s="28">
        <v>0</v>
      </c>
      <c r="E213" s="28">
        <v>1</v>
      </c>
      <c r="F213" s="28">
        <v>2</v>
      </c>
      <c r="G213" s="28">
        <v>3</v>
      </c>
      <c r="H213" s="28">
        <v>4</v>
      </c>
      <c r="I213" s="28">
        <v>5</v>
      </c>
      <c r="J213" s="28">
        <v>6</v>
      </c>
      <c r="K213" s="28">
        <v>7</v>
      </c>
      <c r="L213" s="28">
        <v>8</v>
      </c>
      <c r="M213" s="28">
        <v>9</v>
      </c>
      <c r="N213" s="28">
        <v>10</v>
      </c>
      <c r="O213" s="28">
        <v>11</v>
      </c>
      <c r="P213" s="28">
        <v>12</v>
      </c>
      <c r="Q213" s="28">
        <v>13</v>
      </c>
      <c r="R213" s="28">
        <v>14</v>
      </c>
      <c r="S213" s="28">
        <v>15</v>
      </c>
      <c r="T213" s="28">
        <v>16</v>
      </c>
      <c r="U213" s="28">
        <v>17</v>
      </c>
      <c r="V213" s="28">
        <v>18</v>
      </c>
      <c r="W213" s="28">
        <v>19</v>
      </c>
      <c r="X213" s="80">
        <v>20</v>
      </c>
      <c r="Y213" s="28">
        <v>21</v>
      </c>
      <c r="Z213" s="28">
        <v>22</v>
      </c>
      <c r="AA213" s="28">
        <v>23</v>
      </c>
      <c r="AB213" s="28">
        <v>24</v>
      </c>
      <c r="AC213" s="28">
        <v>25</v>
      </c>
      <c r="AD213" s="28">
        <v>26</v>
      </c>
      <c r="AE213" s="28">
        <v>27</v>
      </c>
      <c r="AF213" s="28">
        <v>28</v>
      </c>
      <c r="AG213" s="28">
        <v>29</v>
      </c>
      <c r="AH213" s="72">
        <v>30</v>
      </c>
      <c r="AI213" s="29" t="s">
        <v>160</v>
      </c>
    </row>
    <row r="214" spans="1:39" x14ac:dyDescent="0.25">
      <c r="A214" s="21"/>
      <c r="B214" s="201" t="s">
        <v>119</v>
      </c>
      <c r="C214" s="292" t="s">
        <v>37</v>
      </c>
      <c r="D214" s="280"/>
      <c r="E214" s="298">
        <f t="shared" ref="E214:AH214" si="97">E44</f>
        <v>-231000000</v>
      </c>
      <c r="F214" s="298">
        <f t="shared" si="97"/>
        <v>-231000000</v>
      </c>
      <c r="G214" s="298">
        <f t="shared" si="97"/>
        <v>-231000000</v>
      </c>
      <c r="H214" s="298">
        <f t="shared" si="97"/>
        <v>-231000000</v>
      </c>
      <c r="I214" s="298">
        <f t="shared" si="97"/>
        <v>-231000000</v>
      </c>
      <c r="J214" s="298">
        <f t="shared" si="97"/>
        <v>-231000000</v>
      </c>
      <c r="K214" s="298">
        <f t="shared" si="97"/>
        <v>-231000000</v>
      </c>
      <c r="L214" s="298">
        <f t="shared" si="97"/>
        <v>-231000000</v>
      </c>
      <c r="M214" s="298">
        <f t="shared" si="97"/>
        <v>-231000000</v>
      </c>
      <c r="N214" s="298">
        <f t="shared" si="97"/>
        <v>-231000000</v>
      </c>
      <c r="O214" s="298">
        <f t="shared" si="97"/>
        <v>-231000000</v>
      </c>
      <c r="P214" s="298">
        <f t="shared" si="97"/>
        <v>-231000000</v>
      </c>
      <c r="Q214" s="298">
        <f t="shared" si="97"/>
        <v>-231000000</v>
      </c>
      <c r="R214" s="298">
        <f t="shared" si="97"/>
        <v>-231000000</v>
      </c>
      <c r="S214" s="298">
        <f t="shared" si="97"/>
        <v>-231000000</v>
      </c>
      <c r="T214" s="298">
        <f t="shared" si="97"/>
        <v>-231000000</v>
      </c>
      <c r="U214" s="298">
        <f t="shared" si="97"/>
        <v>-231000000</v>
      </c>
      <c r="V214" s="298">
        <f t="shared" si="97"/>
        <v>-231000000</v>
      </c>
      <c r="W214" s="298">
        <f t="shared" si="97"/>
        <v>-231000000</v>
      </c>
      <c r="X214" s="298">
        <f t="shared" si="97"/>
        <v>-231000000</v>
      </c>
      <c r="Y214" s="298">
        <f t="shared" si="97"/>
        <v>-231000000</v>
      </c>
      <c r="Z214" s="298">
        <f t="shared" si="97"/>
        <v>-231000000</v>
      </c>
      <c r="AA214" s="298">
        <f t="shared" si="97"/>
        <v>-231000000</v>
      </c>
      <c r="AB214" s="298">
        <f t="shared" si="97"/>
        <v>-231000000</v>
      </c>
      <c r="AC214" s="298">
        <f t="shared" si="97"/>
        <v>-231000000</v>
      </c>
      <c r="AD214" s="298">
        <f t="shared" si="97"/>
        <v>-231000000</v>
      </c>
      <c r="AE214" s="298">
        <f t="shared" si="97"/>
        <v>-231000000</v>
      </c>
      <c r="AF214" s="298">
        <f t="shared" si="97"/>
        <v>-231000000</v>
      </c>
      <c r="AG214" s="298">
        <f t="shared" si="97"/>
        <v>-231000000</v>
      </c>
      <c r="AH214" s="321">
        <f t="shared" si="97"/>
        <v>-231000000</v>
      </c>
      <c r="AI214" s="327">
        <f>SUM(E214:X214)</f>
        <v>-4620000000</v>
      </c>
      <c r="AJ214" s="16">
        <f>AI214/20</f>
        <v>-231000000</v>
      </c>
      <c r="AK214" s="20">
        <f>AJ214-AJ208-AJ203</f>
        <v>-299270664.90234375</v>
      </c>
      <c r="AL214" s="20">
        <f>AK214+AK231</f>
        <v>-22484872.534163713</v>
      </c>
      <c r="AM214" s="16">
        <f>AL214*20</f>
        <v>-449697450.68327427</v>
      </c>
    </row>
    <row r="215" spans="1:39" x14ac:dyDescent="0.25">
      <c r="A215" s="21"/>
      <c r="B215" s="293" t="s">
        <v>584</v>
      </c>
      <c r="C215" s="194" t="s">
        <v>37</v>
      </c>
      <c r="D215" s="281">
        <f>インプット!E73</f>
        <v>1172767333.5254302</v>
      </c>
      <c r="E215" s="296">
        <v>0</v>
      </c>
      <c r="F215" s="296">
        <v>0</v>
      </c>
      <c r="G215" s="296">
        <v>0</v>
      </c>
      <c r="H215" s="296">
        <v>0</v>
      </c>
      <c r="I215" s="296">
        <v>0</v>
      </c>
      <c r="J215" s="296">
        <v>0</v>
      </c>
      <c r="K215" s="296">
        <v>0</v>
      </c>
      <c r="L215" s="296">
        <v>0</v>
      </c>
      <c r="M215" s="296">
        <v>0</v>
      </c>
      <c r="N215" s="296">
        <v>0</v>
      </c>
      <c r="O215" s="296">
        <v>0</v>
      </c>
      <c r="P215" s="296">
        <v>0</v>
      </c>
      <c r="Q215" s="296">
        <v>0</v>
      </c>
      <c r="R215" s="296">
        <v>0</v>
      </c>
      <c r="S215" s="296">
        <v>0</v>
      </c>
      <c r="T215" s="296">
        <v>0</v>
      </c>
      <c r="U215" s="296">
        <v>0</v>
      </c>
      <c r="V215" s="296">
        <v>0</v>
      </c>
      <c r="W215" s="296">
        <v>0</v>
      </c>
      <c r="X215" s="296">
        <v>0</v>
      </c>
      <c r="Y215" s="296">
        <v>0</v>
      </c>
      <c r="Z215" s="296">
        <v>0</v>
      </c>
      <c r="AA215" s="296">
        <v>0</v>
      </c>
      <c r="AB215" s="296">
        <v>0</v>
      </c>
      <c r="AC215" s="296">
        <v>0</v>
      </c>
      <c r="AD215" s="296">
        <v>0</v>
      </c>
      <c r="AE215" s="296">
        <v>0</v>
      </c>
      <c r="AF215" s="296">
        <v>0</v>
      </c>
      <c r="AG215" s="296">
        <v>0</v>
      </c>
      <c r="AH215" s="296">
        <v>0</v>
      </c>
      <c r="AI215" s="332">
        <f>SUM(D215:X215)</f>
        <v>1172767333.5254302</v>
      </c>
      <c r="AJ215" s="16">
        <f t="shared" ref="AJ215:AJ231" si="98">AI215/20</f>
        <v>58638366.676271513</v>
      </c>
    </row>
    <row r="216" spans="1:39" x14ac:dyDescent="0.25">
      <c r="A216" s="21"/>
      <c r="B216" s="800" t="str">
        <f>インプット!B76</f>
        <v>工事費</v>
      </c>
      <c r="C216" s="194" t="s">
        <v>37</v>
      </c>
      <c r="D216" s="801">
        <f>インプット!E76</f>
        <v>390922444.50847667</v>
      </c>
      <c r="E216" s="369">
        <v>0</v>
      </c>
      <c r="F216" s="369">
        <v>0</v>
      </c>
      <c r="G216" s="369">
        <v>0</v>
      </c>
      <c r="H216" s="369">
        <v>0</v>
      </c>
      <c r="I216" s="369">
        <v>0</v>
      </c>
      <c r="J216" s="369">
        <v>0</v>
      </c>
      <c r="K216" s="369">
        <v>0</v>
      </c>
      <c r="L216" s="369">
        <v>0</v>
      </c>
      <c r="M216" s="369">
        <v>0</v>
      </c>
      <c r="N216" s="369">
        <v>0</v>
      </c>
      <c r="O216" s="369">
        <v>0</v>
      </c>
      <c r="P216" s="369">
        <v>0</v>
      </c>
      <c r="Q216" s="369">
        <v>0</v>
      </c>
      <c r="R216" s="369">
        <v>0</v>
      </c>
      <c r="S216" s="369">
        <v>0</v>
      </c>
      <c r="T216" s="369">
        <v>0</v>
      </c>
      <c r="U216" s="369">
        <v>0</v>
      </c>
      <c r="V216" s="369">
        <v>0</v>
      </c>
      <c r="W216" s="369">
        <v>0</v>
      </c>
      <c r="X216" s="369">
        <v>0</v>
      </c>
      <c r="Y216" s="369">
        <v>0</v>
      </c>
      <c r="Z216" s="369">
        <v>0</v>
      </c>
      <c r="AA216" s="369">
        <v>0</v>
      </c>
      <c r="AB216" s="369">
        <v>0</v>
      </c>
      <c r="AC216" s="369">
        <v>0</v>
      </c>
      <c r="AD216" s="369">
        <v>0</v>
      </c>
      <c r="AE216" s="369">
        <v>0</v>
      </c>
      <c r="AF216" s="369">
        <v>0</v>
      </c>
      <c r="AG216" s="369">
        <v>0</v>
      </c>
      <c r="AH216" s="369">
        <v>0</v>
      </c>
      <c r="AI216" s="332">
        <f>SUM(D216:X216)</f>
        <v>390922444.50847667</v>
      </c>
      <c r="AJ216" s="16">
        <f t="shared" si="98"/>
        <v>19546122.225423835</v>
      </c>
    </row>
    <row r="217" spans="1:39" x14ac:dyDescent="0.25">
      <c r="A217" s="21"/>
      <c r="B217" s="366" t="str">
        <f>B59</f>
        <v>薬剤・消耗品費用</v>
      </c>
      <c r="C217" s="367" t="s">
        <v>37</v>
      </c>
      <c r="D217" s="368"/>
      <c r="E217" s="369">
        <f t="shared" ref="E217:AH217" si="99">E59</f>
        <v>57525830.544324234</v>
      </c>
      <c r="F217" s="369">
        <f t="shared" si="99"/>
        <v>57525830.544324234</v>
      </c>
      <c r="G217" s="369">
        <f t="shared" si="99"/>
        <v>57525830.544324234</v>
      </c>
      <c r="H217" s="369">
        <f t="shared" si="99"/>
        <v>57525830.544324234</v>
      </c>
      <c r="I217" s="369">
        <f t="shared" si="99"/>
        <v>57525830.544324234</v>
      </c>
      <c r="J217" s="369">
        <f t="shared" si="99"/>
        <v>57525830.544324234</v>
      </c>
      <c r="K217" s="369">
        <f t="shared" si="99"/>
        <v>57525830.544324234</v>
      </c>
      <c r="L217" s="369">
        <f t="shared" si="99"/>
        <v>57525830.544324234</v>
      </c>
      <c r="M217" s="369">
        <f t="shared" si="99"/>
        <v>57525830.544324234</v>
      </c>
      <c r="N217" s="369">
        <f t="shared" si="99"/>
        <v>57525830.544324234</v>
      </c>
      <c r="O217" s="369">
        <f t="shared" si="99"/>
        <v>57525830.544324234</v>
      </c>
      <c r="P217" s="369">
        <f t="shared" si="99"/>
        <v>57525830.544324234</v>
      </c>
      <c r="Q217" s="369">
        <f t="shared" si="99"/>
        <v>57525830.544324234</v>
      </c>
      <c r="R217" s="369">
        <f t="shared" si="99"/>
        <v>57525830.544324234</v>
      </c>
      <c r="S217" s="369">
        <f t="shared" si="99"/>
        <v>57525830.544324234</v>
      </c>
      <c r="T217" s="369">
        <f t="shared" si="99"/>
        <v>57525830.544324234</v>
      </c>
      <c r="U217" s="369">
        <f t="shared" si="99"/>
        <v>57525830.544324234</v>
      </c>
      <c r="V217" s="369">
        <f t="shared" si="99"/>
        <v>57525830.544324234</v>
      </c>
      <c r="W217" s="369">
        <f t="shared" si="99"/>
        <v>57525830.544324234</v>
      </c>
      <c r="X217" s="369">
        <f t="shared" si="99"/>
        <v>57525830.544324234</v>
      </c>
      <c r="Y217" s="369">
        <f t="shared" si="99"/>
        <v>57525830.544324234</v>
      </c>
      <c r="Z217" s="369">
        <f t="shared" si="99"/>
        <v>57525830.544324234</v>
      </c>
      <c r="AA217" s="369">
        <f t="shared" si="99"/>
        <v>57525830.544324234</v>
      </c>
      <c r="AB217" s="369">
        <f t="shared" si="99"/>
        <v>57525830.544324234</v>
      </c>
      <c r="AC217" s="369">
        <f t="shared" si="99"/>
        <v>57525830.544324234</v>
      </c>
      <c r="AD217" s="369">
        <f t="shared" si="99"/>
        <v>57525830.544324234</v>
      </c>
      <c r="AE217" s="369">
        <f t="shared" si="99"/>
        <v>57525830.544324234</v>
      </c>
      <c r="AF217" s="369">
        <f t="shared" si="99"/>
        <v>57525830.544324234</v>
      </c>
      <c r="AG217" s="369">
        <f t="shared" si="99"/>
        <v>57525830.544324234</v>
      </c>
      <c r="AH217" s="370">
        <f t="shared" si="99"/>
        <v>57525830.544324234</v>
      </c>
      <c r="AI217" s="371">
        <f t="shared" ref="AI217:AI222" si="100">SUM(E217:X217)</f>
        <v>1150516610.8864849</v>
      </c>
      <c r="AJ217" s="16">
        <f t="shared" si="98"/>
        <v>57525830.544324242</v>
      </c>
    </row>
    <row r="218" spans="1:39" x14ac:dyDescent="0.25">
      <c r="A218" s="21"/>
      <c r="B218" s="366" t="str">
        <f>B60</f>
        <v>ユーティリティー費用</v>
      </c>
      <c r="C218" s="367" t="s">
        <v>37</v>
      </c>
      <c r="D218" s="368"/>
      <c r="E218" s="369">
        <f t="shared" ref="E218:AH218" si="101">E60</f>
        <v>24653927.376138959</v>
      </c>
      <c r="F218" s="369">
        <f t="shared" si="101"/>
        <v>24653927.376138959</v>
      </c>
      <c r="G218" s="369">
        <f t="shared" si="101"/>
        <v>24653927.376138959</v>
      </c>
      <c r="H218" s="369">
        <f t="shared" si="101"/>
        <v>24653927.376138959</v>
      </c>
      <c r="I218" s="369">
        <f t="shared" si="101"/>
        <v>24653927.376138959</v>
      </c>
      <c r="J218" s="369">
        <f t="shared" si="101"/>
        <v>24653927.376138959</v>
      </c>
      <c r="K218" s="369">
        <f t="shared" si="101"/>
        <v>24653927.376138959</v>
      </c>
      <c r="L218" s="369">
        <f t="shared" si="101"/>
        <v>24653927.376138959</v>
      </c>
      <c r="M218" s="369">
        <f t="shared" si="101"/>
        <v>24653927.376138959</v>
      </c>
      <c r="N218" s="369">
        <f t="shared" si="101"/>
        <v>24653927.376138959</v>
      </c>
      <c r="O218" s="369">
        <f t="shared" si="101"/>
        <v>24653927.376138959</v>
      </c>
      <c r="P218" s="369">
        <f t="shared" si="101"/>
        <v>24653927.376138959</v>
      </c>
      <c r="Q218" s="369">
        <f t="shared" si="101"/>
        <v>24653927.376138959</v>
      </c>
      <c r="R218" s="369">
        <f t="shared" si="101"/>
        <v>24653927.376138959</v>
      </c>
      <c r="S218" s="369">
        <f t="shared" si="101"/>
        <v>24653927.376138959</v>
      </c>
      <c r="T218" s="369">
        <f t="shared" si="101"/>
        <v>24653927.376138959</v>
      </c>
      <c r="U218" s="369">
        <f t="shared" si="101"/>
        <v>24653927.376138959</v>
      </c>
      <c r="V218" s="369">
        <f t="shared" si="101"/>
        <v>24653927.376138959</v>
      </c>
      <c r="W218" s="369">
        <f t="shared" si="101"/>
        <v>24653927.376138959</v>
      </c>
      <c r="X218" s="369">
        <f t="shared" si="101"/>
        <v>24653927.376138959</v>
      </c>
      <c r="Y218" s="369">
        <f t="shared" si="101"/>
        <v>24653927.376138959</v>
      </c>
      <c r="Z218" s="369">
        <f t="shared" si="101"/>
        <v>24653927.376138959</v>
      </c>
      <c r="AA218" s="369">
        <f t="shared" si="101"/>
        <v>24653927.376138959</v>
      </c>
      <c r="AB218" s="369">
        <f t="shared" si="101"/>
        <v>24653927.376138959</v>
      </c>
      <c r="AC218" s="369">
        <f t="shared" si="101"/>
        <v>24653927.376138959</v>
      </c>
      <c r="AD218" s="369">
        <f t="shared" si="101"/>
        <v>24653927.376138959</v>
      </c>
      <c r="AE218" s="369">
        <f t="shared" si="101"/>
        <v>24653927.376138959</v>
      </c>
      <c r="AF218" s="369">
        <f t="shared" si="101"/>
        <v>24653927.376138959</v>
      </c>
      <c r="AG218" s="369">
        <f t="shared" si="101"/>
        <v>24653927.376138959</v>
      </c>
      <c r="AH218" s="370">
        <f t="shared" si="101"/>
        <v>24653927.376138959</v>
      </c>
      <c r="AI218" s="371">
        <f t="shared" si="100"/>
        <v>493078547.52277941</v>
      </c>
      <c r="AJ218" s="16">
        <f t="shared" si="98"/>
        <v>24653927.37613897</v>
      </c>
    </row>
    <row r="219" spans="1:39" x14ac:dyDescent="0.25">
      <c r="A219" s="21"/>
      <c r="B219" s="366"/>
      <c r="C219" s="367" t="s">
        <v>37</v>
      </c>
      <c r="D219" s="801"/>
      <c r="E219" s="369">
        <f t="shared" ref="E219:AH219" si="102">E61</f>
        <v>0</v>
      </c>
      <c r="F219" s="369">
        <f t="shared" si="102"/>
        <v>0</v>
      </c>
      <c r="G219" s="369">
        <f t="shared" si="102"/>
        <v>0</v>
      </c>
      <c r="H219" s="369">
        <f t="shared" si="102"/>
        <v>0</v>
      </c>
      <c r="I219" s="369">
        <f t="shared" si="102"/>
        <v>0</v>
      </c>
      <c r="J219" s="369">
        <f t="shared" si="102"/>
        <v>0</v>
      </c>
      <c r="K219" s="369">
        <f t="shared" si="102"/>
        <v>0</v>
      </c>
      <c r="L219" s="369">
        <f t="shared" si="102"/>
        <v>0</v>
      </c>
      <c r="M219" s="369">
        <f t="shared" si="102"/>
        <v>0</v>
      </c>
      <c r="N219" s="369">
        <f t="shared" si="102"/>
        <v>0</v>
      </c>
      <c r="O219" s="369">
        <f t="shared" si="102"/>
        <v>0</v>
      </c>
      <c r="P219" s="369">
        <f t="shared" si="102"/>
        <v>0</v>
      </c>
      <c r="Q219" s="369">
        <f t="shared" si="102"/>
        <v>0</v>
      </c>
      <c r="R219" s="369">
        <f t="shared" si="102"/>
        <v>0</v>
      </c>
      <c r="S219" s="369">
        <f t="shared" si="102"/>
        <v>0</v>
      </c>
      <c r="T219" s="369">
        <f t="shared" si="102"/>
        <v>0</v>
      </c>
      <c r="U219" s="369">
        <f t="shared" si="102"/>
        <v>0</v>
      </c>
      <c r="V219" s="369">
        <f t="shared" si="102"/>
        <v>0</v>
      </c>
      <c r="W219" s="369">
        <f t="shared" si="102"/>
        <v>0</v>
      </c>
      <c r="X219" s="369">
        <f t="shared" si="102"/>
        <v>0</v>
      </c>
      <c r="Y219" s="369">
        <f t="shared" si="102"/>
        <v>0</v>
      </c>
      <c r="Z219" s="369">
        <f t="shared" si="102"/>
        <v>0</v>
      </c>
      <c r="AA219" s="369">
        <f t="shared" si="102"/>
        <v>0</v>
      </c>
      <c r="AB219" s="369">
        <f t="shared" si="102"/>
        <v>0</v>
      </c>
      <c r="AC219" s="369">
        <f t="shared" si="102"/>
        <v>0</v>
      </c>
      <c r="AD219" s="369">
        <f t="shared" si="102"/>
        <v>0</v>
      </c>
      <c r="AE219" s="369">
        <f t="shared" si="102"/>
        <v>0</v>
      </c>
      <c r="AF219" s="369">
        <f t="shared" si="102"/>
        <v>0</v>
      </c>
      <c r="AG219" s="369">
        <f t="shared" si="102"/>
        <v>0</v>
      </c>
      <c r="AH219" s="370">
        <f t="shared" si="102"/>
        <v>0</v>
      </c>
      <c r="AI219" s="371">
        <f t="shared" si="100"/>
        <v>0</v>
      </c>
      <c r="AJ219" s="16">
        <f t="shared" si="98"/>
        <v>0</v>
      </c>
    </row>
    <row r="220" spans="1:39" x14ac:dyDescent="0.25">
      <c r="A220" s="21"/>
      <c r="B220" s="366"/>
      <c r="C220" s="367" t="s">
        <v>37</v>
      </c>
      <c r="D220" s="368"/>
      <c r="E220" s="369">
        <f t="shared" ref="E220:AH220" si="103">E62</f>
        <v>0</v>
      </c>
      <c r="F220" s="369">
        <f t="shared" si="103"/>
        <v>0</v>
      </c>
      <c r="G220" s="369">
        <f t="shared" si="103"/>
        <v>0</v>
      </c>
      <c r="H220" s="369">
        <f t="shared" si="103"/>
        <v>0</v>
      </c>
      <c r="I220" s="369">
        <f t="shared" si="103"/>
        <v>0</v>
      </c>
      <c r="J220" s="369">
        <f t="shared" si="103"/>
        <v>0</v>
      </c>
      <c r="K220" s="369">
        <f t="shared" si="103"/>
        <v>0</v>
      </c>
      <c r="L220" s="369">
        <f t="shared" si="103"/>
        <v>0</v>
      </c>
      <c r="M220" s="369">
        <f t="shared" si="103"/>
        <v>0</v>
      </c>
      <c r="N220" s="369">
        <f t="shared" si="103"/>
        <v>0</v>
      </c>
      <c r="O220" s="369">
        <f t="shared" si="103"/>
        <v>0</v>
      </c>
      <c r="P220" s="369">
        <f t="shared" si="103"/>
        <v>0</v>
      </c>
      <c r="Q220" s="369">
        <f t="shared" si="103"/>
        <v>0</v>
      </c>
      <c r="R220" s="369">
        <f t="shared" si="103"/>
        <v>0</v>
      </c>
      <c r="S220" s="369">
        <f t="shared" si="103"/>
        <v>0</v>
      </c>
      <c r="T220" s="369">
        <f t="shared" si="103"/>
        <v>0</v>
      </c>
      <c r="U220" s="369">
        <f t="shared" si="103"/>
        <v>0</v>
      </c>
      <c r="V220" s="369">
        <f t="shared" si="103"/>
        <v>0</v>
      </c>
      <c r="W220" s="369">
        <f t="shared" si="103"/>
        <v>0</v>
      </c>
      <c r="X220" s="369">
        <f t="shared" si="103"/>
        <v>0</v>
      </c>
      <c r="Y220" s="369">
        <f t="shared" si="103"/>
        <v>0</v>
      </c>
      <c r="Z220" s="369">
        <f t="shared" si="103"/>
        <v>0</v>
      </c>
      <c r="AA220" s="369">
        <f t="shared" si="103"/>
        <v>0</v>
      </c>
      <c r="AB220" s="369">
        <f t="shared" si="103"/>
        <v>0</v>
      </c>
      <c r="AC220" s="369">
        <f t="shared" si="103"/>
        <v>0</v>
      </c>
      <c r="AD220" s="369">
        <f t="shared" si="103"/>
        <v>0</v>
      </c>
      <c r="AE220" s="369">
        <f t="shared" si="103"/>
        <v>0</v>
      </c>
      <c r="AF220" s="369">
        <f t="shared" si="103"/>
        <v>0</v>
      </c>
      <c r="AG220" s="369">
        <f t="shared" si="103"/>
        <v>0</v>
      </c>
      <c r="AH220" s="370">
        <f t="shared" si="103"/>
        <v>0</v>
      </c>
      <c r="AI220" s="371">
        <f t="shared" si="100"/>
        <v>0</v>
      </c>
      <c r="AJ220" s="16">
        <f t="shared" si="98"/>
        <v>0</v>
      </c>
    </row>
    <row r="221" spans="1:39" x14ac:dyDescent="0.25">
      <c r="A221" s="21"/>
      <c r="B221" s="366"/>
      <c r="C221" s="367" t="s">
        <v>37</v>
      </c>
      <c r="D221" s="368"/>
      <c r="E221" s="369">
        <f t="shared" ref="E221:AH221" si="104">E63</f>
        <v>0</v>
      </c>
      <c r="F221" s="369">
        <f t="shared" si="104"/>
        <v>0</v>
      </c>
      <c r="G221" s="369">
        <f t="shared" si="104"/>
        <v>0</v>
      </c>
      <c r="H221" s="369">
        <f t="shared" si="104"/>
        <v>0</v>
      </c>
      <c r="I221" s="369">
        <f t="shared" si="104"/>
        <v>0</v>
      </c>
      <c r="J221" s="369">
        <f t="shared" si="104"/>
        <v>0</v>
      </c>
      <c r="K221" s="369">
        <f t="shared" si="104"/>
        <v>0</v>
      </c>
      <c r="L221" s="369">
        <f t="shared" si="104"/>
        <v>0</v>
      </c>
      <c r="M221" s="369">
        <f t="shared" si="104"/>
        <v>0</v>
      </c>
      <c r="N221" s="369">
        <f t="shared" si="104"/>
        <v>0</v>
      </c>
      <c r="O221" s="369">
        <f t="shared" si="104"/>
        <v>0</v>
      </c>
      <c r="P221" s="369">
        <f t="shared" si="104"/>
        <v>0</v>
      </c>
      <c r="Q221" s="369">
        <f t="shared" si="104"/>
        <v>0</v>
      </c>
      <c r="R221" s="369">
        <f t="shared" si="104"/>
        <v>0</v>
      </c>
      <c r="S221" s="369">
        <f t="shared" si="104"/>
        <v>0</v>
      </c>
      <c r="T221" s="369">
        <f t="shared" si="104"/>
        <v>0</v>
      </c>
      <c r="U221" s="369">
        <f t="shared" si="104"/>
        <v>0</v>
      </c>
      <c r="V221" s="369">
        <f t="shared" si="104"/>
        <v>0</v>
      </c>
      <c r="W221" s="369">
        <f t="shared" si="104"/>
        <v>0</v>
      </c>
      <c r="X221" s="369">
        <f t="shared" si="104"/>
        <v>0</v>
      </c>
      <c r="Y221" s="369">
        <f t="shared" si="104"/>
        <v>0</v>
      </c>
      <c r="Z221" s="369">
        <f t="shared" si="104"/>
        <v>0</v>
      </c>
      <c r="AA221" s="369">
        <f t="shared" si="104"/>
        <v>0</v>
      </c>
      <c r="AB221" s="369">
        <f t="shared" si="104"/>
        <v>0</v>
      </c>
      <c r="AC221" s="369">
        <f t="shared" si="104"/>
        <v>0</v>
      </c>
      <c r="AD221" s="369">
        <f t="shared" si="104"/>
        <v>0</v>
      </c>
      <c r="AE221" s="369">
        <f t="shared" si="104"/>
        <v>0</v>
      </c>
      <c r="AF221" s="369">
        <f t="shared" si="104"/>
        <v>0</v>
      </c>
      <c r="AG221" s="369">
        <f t="shared" si="104"/>
        <v>0</v>
      </c>
      <c r="AH221" s="370">
        <f t="shared" si="104"/>
        <v>0</v>
      </c>
      <c r="AI221" s="371">
        <f t="shared" si="100"/>
        <v>0</v>
      </c>
      <c r="AJ221" s="16">
        <f t="shared" si="98"/>
        <v>0</v>
      </c>
    </row>
    <row r="222" spans="1:39" x14ac:dyDescent="0.25">
      <c r="A222" s="21"/>
      <c r="B222" s="293"/>
      <c r="C222" s="367" t="s">
        <v>37</v>
      </c>
      <c r="D222" s="368"/>
      <c r="E222" s="369">
        <f t="shared" ref="E222:AH222" si="105">E64</f>
        <v>0</v>
      </c>
      <c r="F222" s="369">
        <f t="shared" si="105"/>
        <v>0</v>
      </c>
      <c r="G222" s="369">
        <f t="shared" si="105"/>
        <v>0</v>
      </c>
      <c r="H222" s="369">
        <f t="shared" si="105"/>
        <v>0</v>
      </c>
      <c r="I222" s="369">
        <f t="shared" si="105"/>
        <v>0</v>
      </c>
      <c r="J222" s="369">
        <f t="shared" si="105"/>
        <v>0</v>
      </c>
      <c r="K222" s="369">
        <f t="shared" si="105"/>
        <v>0</v>
      </c>
      <c r="L222" s="369">
        <f t="shared" si="105"/>
        <v>0</v>
      </c>
      <c r="M222" s="369">
        <f t="shared" si="105"/>
        <v>0</v>
      </c>
      <c r="N222" s="369">
        <f t="shared" si="105"/>
        <v>0</v>
      </c>
      <c r="O222" s="369">
        <f t="shared" si="105"/>
        <v>0</v>
      </c>
      <c r="P222" s="369">
        <f t="shared" si="105"/>
        <v>0</v>
      </c>
      <c r="Q222" s="369">
        <f t="shared" si="105"/>
        <v>0</v>
      </c>
      <c r="R222" s="369">
        <f t="shared" si="105"/>
        <v>0</v>
      </c>
      <c r="S222" s="369">
        <f t="shared" si="105"/>
        <v>0</v>
      </c>
      <c r="T222" s="369">
        <f t="shared" si="105"/>
        <v>0</v>
      </c>
      <c r="U222" s="369">
        <f t="shared" si="105"/>
        <v>0</v>
      </c>
      <c r="V222" s="369">
        <f t="shared" si="105"/>
        <v>0</v>
      </c>
      <c r="W222" s="369">
        <f t="shared" si="105"/>
        <v>0</v>
      </c>
      <c r="X222" s="369">
        <f t="shared" si="105"/>
        <v>0</v>
      </c>
      <c r="Y222" s="369">
        <f t="shared" si="105"/>
        <v>0</v>
      </c>
      <c r="Z222" s="369">
        <f t="shared" si="105"/>
        <v>0</v>
      </c>
      <c r="AA222" s="369">
        <f t="shared" si="105"/>
        <v>0</v>
      </c>
      <c r="AB222" s="369">
        <f t="shared" si="105"/>
        <v>0</v>
      </c>
      <c r="AC222" s="369">
        <f t="shared" si="105"/>
        <v>0</v>
      </c>
      <c r="AD222" s="369">
        <f t="shared" si="105"/>
        <v>0</v>
      </c>
      <c r="AE222" s="369">
        <f t="shared" si="105"/>
        <v>0</v>
      </c>
      <c r="AF222" s="369">
        <f t="shared" si="105"/>
        <v>0</v>
      </c>
      <c r="AG222" s="369">
        <f t="shared" si="105"/>
        <v>0</v>
      </c>
      <c r="AH222" s="370">
        <f t="shared" si="105"/>
        <v>0</v>
      </c>
      <c r="AI222" s="371">
        <f t="shared" si="100"/>
        <v>0</v>
      </c>
      <c r="AJ222" s="16">
        <f t="shared" si="98"/>
        <v>0</v>
      </c>
    </row>
    <row r="223" spans="1:39" x14ac:dyDescent="0.25">
      <c r="A223" s="21"/>
      <c r="B223" s="293" t="str">
        <f>B66</f>
        <v>メンテナンス費</v>
      </c>
      <c r="C223" s="194" t="s">
        <v>162</v>
      </c>
      <c r="D223" s="281"/>
      <c r="E223" s="296">
        <f t="shared" ref="E223:AH223" si="106">E66</f>
        <v>41089878.960231602</v>
      </c>
      <c r="F223" s="296">
        <f t="shared" si="106"/>
        <v>41089878.960231602</v>
      </c>
      <c r="G223" s="296">
        <f t="shared" si="106"/>
        <v>41089878.960231602</v>
      </c>
      <c r="H223" s="296">
        <f t="shared" si="106"/>
        <v>41089878.960231602</v>
      </c>
      <c r="I223" s="296">
        <f t="shared" si="106"/>
        <v>41089878.960231602</v>
      </c>
      <c r="J223" s="296">
        <f t="shared" si="106"/>
        <v>41089878.960231602</v>
      </c>
      <c r="K223" s="296">
        <f t="shared" si="106"/>
        <v>41089878.960231602</v>
      </c>
      <c r="L223" s="296">
        <f t="shared" si="106"/>
        <v>41089878.960231602</v>
      </c>
      <c r="M223" s="296">
        <f t="shared" si="106"/>
        <v>41089878.960231602</v>
      </c>
      <c r="N223" s="296">
        <f t="shared" si="106"/>
        <v>41089878.960231602</v>
      </c>
      <c r="O223" s="296">
        <f t="shared" si="106"/>
        <v>41089878.960231602</v>
      </c>
      <c r="P223" s="296">
        <f t="shared" si="106"/>
        <v>41089878.960231602</v>
      </c>
      <c r="Q223" s="296">
        <f t="shared" si="106"/>
        <v>41089878.960231602</v>
      </c>
      <c r="R223" s="296">
        <f t="shared" si="106"/>
        <v>41089878.960231602</v>
      </c>
      <c r="S223" s="296">
        <f t="shared" si="106"/>
        <v>41089878.960231602</v>
      </c>
      <c r="T223" s="296">
        <f t="shared" si="106"/>
        <v>41089878.960231602</v>
      </c>
      <c r="U223" s="296">
        <f t="shared" si="106"/>
        <v>41089878.960231602</v>
      </c>
      <c r="V223" s="296">
        <f t="shared" si="106"/>
        <v>41089878.960231602</v>
      </c>
      <c r="W223" s="296">
        <f t="shared" si="106"/>
        <v>41089878.960231602</v>
      </c>
      <c r="X223" s="296">
        <f t="shared" si="106"/>
        <v>41089878.960231602</v>
      </c>
      <c r="Y223" s="296">
        <f t="shared" si="106"/>
        <v>41089878.960231602</v>
      </c>
      <c r="Z223" s="296">
        <f t="shared" si="106"/>
        <v>41089878.960231602</v>
      </c>
      <c r="AA223" s="296">
        <f t="shared" si="106"/>
        <v>41089878.960231602</v>
      </c>
      <c r="AB223" s="296">
        <f t="shared" si="106"/>
        <v>41089878.960231602</v>
      </c>
      <c r="AC223" s="296">
        <f t="shared" si="106"/>
        <v>41089878.960231602</v>
      </c>
      <c r="AD223" s="296">
        <f t="shared" si="106"/>
        <v>41089878.960231602</v>
      </c>
      <c r="AE223" s="296">
        <f t="shared" si="106"/>
        <v>41089878.960231602</v>
      </c>
      <c r="AF223" s="296">
        <f t="shared" si="106"/>
        <v>41089878.960231602</v>
      </c>
      <c r="AG223" s="296">
        <f t="shared" si="106"/>
        <v>41089878.960231602</v>
      </c>
      <c r="AH223" s="296">
        <f t="shared" si="106"/>
        <v>41089878.960231602</v>
      </c>
      <c r="AI223" s="332">
        <f t="shared" ref="AI223:AI231" si="107">SUM(E223:X223)</f>
        <v>821797579.20463181</v>
      </c>
      <c r="AJ223" s="16">
        <f t="shared" si="98"/>
        <v>41089878.960231587</v>
      </c>
    </row>
    <row r="224" spans="1:39" x14ac:dyDescent="0.25">
      <c r="A224" s="21"/>
      <c r="B224" s="293" t="str">
        <f>B67</f>
        <v>人件費</v>
      </c>
      <c r="C224" s="275" t="s">
        <v>37</v>
      </c>
      <c r="D224" s="281"/>
      <c r="E224" s="296">
        <f t="shared" ref="E224:AH224" si="108">E67</f>
        <v>24653927.376138959</v>
      </c>
      <c r="F224" s="296">
        <f t="shared" si="108"/>
        <v>24653927.376138959</v>
      </c>
      <c r="G224" s="296">
        <f t="shared" si="108"/>
        <v>24653927.376138959</v>
      </c>
      <c r="H224" s="296">
        <f t="shared" si="108"/>
        <v>24653927.376138959</v>
      </c>
      <c r="I224" s="296">
        <f t="shared" si="108"/>
        <v>24653927.376138959</v>
      </c>
      <c r="J224" s="296">
        <f t="shared" si="108"/>
        <v>24653927.376138959</v>
      </c>
      <c r="K224" s="296">
        <f t="shared" si="108"/>
        <v>24653927.376138959</v>
      </c>
      <c r="L224" s="296">
        <f t="shared" si="108"/>
        <v>24653927.376138959</v>
      </c>
      <c r="M224" s="296">
        <f t="shared" si="108"/>
        <v>24653927.376138959</v>
      </c>
      <c r="N224" s="296">
        <f t="shared" si="108"/>
        <v>24653927.376138959</v>
      </c>
      <c r="O224" s="296">
        <f t="shared" si="108"/>
        <v>24653927.376138959</v>
      </c>
      <c r="P224" s="296">
        <f t="shared" si="108"/>
        <v>24653927.376138959</v>
      </c>
      <c r="Q224" s="296">
        <f t="shared" si="108"/>
        <v>24653927.376138959</v>
      </c>
      <c r="R224" s="296">
        <f t="shared" si="108"/>
        <v>24653927.376138959</v>
      </c>
      <c r="S224" s="296">
        <f t="shared" si="108"/>
        <v>24653927.376138959</v>
      </c>
      <c r="T224" s="296">
        <f t="shared" si="108"/>
        <v>24653927.376138959</v>
      </c>
      <c r="U224" s="296">
        <f t="shared" si="108"/>
        <v>24653927.376138959</v>
      </c>
      <c r="V224" s="296">
        <f t="shared" si="108"/>
        <v>24653927.376138959</v>
      </c>
      <c r="W224" s="296">
        <f t="shared" si="108"/>
        <v>24653927.376138959</v>
      </c>
      <c r="X224" s="296">
        <f t="shared" si="108"/>
        <v>24653927.376138959</v>
      </c>
      <c r="Y224" s="296">
        <f t="shared" si="108"/>
        <v>24653927.376138959</v>
      </c>
      <c r="Z224" s="296">
        <f t="shared" si="108"/>
        <v>24653927.376138959</v>
      </c>
      <c r="AA224" s="296">
        <f t="shared" si="108"/>
        <v>24653927.376138959</v>
      </c>
      <c r="AB224" s="296">
        <f t="shared" si="108"/>
        <v>24653927.376138959</v>
      </c>
      <c r="AC224" s="296">
        <f t="shared" si="108"/>
        <v>24653927.376138959</v>
      </c>
      <c r="AD224" s="296">
        <f t="shared" si="108"/>
        <v>24653927.376138959</v>
      </c>
      <c r="AE224" s="296">
        <f t="shared" si="108"/>
        <v>24653927.376138959</v>
      </c>
      <c r="AF224" s="296">
        <f t="shared" si="108"/>
        <v>24653927.376138959</v>
      </c>
      <c r="AG224" s="296">
        <f t="shared" si="108"/>
        <v>24653927.376138959</v>
      </c>
      <c r="AH224" s="296">
        <f t="shared" si="108"/>
        <v>24653927.376138959</v>
      </c>
      <c r="AI224" s="332">
        <f t="shared" si="107"/>
        <v>493078547.52277941</v>
      </c>
      <c r="AJ224" s="16">
        <f t="shared" si="98"/>
        <v>24653927.37613897</v>
      </c>
    </row>
    <row r="225" spans="1:37" x14ac:dyDescent="0.25">
      <c r="A225" s="21"/>
      <c r="B225" s="293" t="str">
        <f>B68</f>
        <v>一般管理費</v>
      </c>
      <c r="C225" s="276" t="s">
        <v>37</v>
      </c>
      <c r="D225" s="282"/>
      <c r="E225" s="296">
        <f t="shared" ref="E225:AH225" si="109">E68</f>
        <v>16435951.584092641</v>
      </c>
      <c r="F225" s="296">
        <f t="shared" si="109"/>
        <v>16435951.584092641</v>
      </c>
      <c r="G225" s="296">
        <f t="shared" si="109"/>
        <v>16435951.584092641</v>
      </c>
      <c r="H225" s="296">
        <f t="shared" si="109"/>
        <v>16435951.584092641</v>
      </c>
      <c r="I225" s="296">
        <f t="shared" si="109"/>
        <v>16435951.584092641</v>
      </c>
      <c r="J225" s="296">
        <f t="shared" si="109"/>
        <v>16435951.584092641</v>
      </c>
      <c r="K225" s="296">
        <f t="shared" si="109"/>
        <v>16435951.584092641</v>
      </c>
      <c r="L225" s="296">
        <f t="shared" si="109"/>
        <v>16435951.584092641</v>
      </c>
      <c r="M225" s="296">
        <f t="shared" si="109"/>
        <v>16435951.584092641</v>
      </c>
      <c r="N225" s="296">
        <f t="shared" si="109"/>
        <v>16435951.584092641</v>
      </c>
      <c r="O225" s="296">
        <f t="shared" si="109"/>
        <v>16435951.584092641</v>
      </c>
      <c r="P225" s="296">
        <f t="shared" si="109"/>
        <v>16435951.584092641</v>
      </c>
      <c r="Q225" s="296">
        <f t="shared" si="109"/>
        <v>16435951.584092641</v>
      </c>
      <c r="R225" s="296">
        <f t="shared" si="109"/>
        <v>16435951.584092641</v>
      </c>
      <c r="S225" s="296">
        <f t="shared" si="109"/>
        <v>16435951.584092641</v>
      </c>
      <c r="T225" s="296">
        <f t="shared" si="109"/>
        <v>16435951.584092641</v>
      </c>
      <c r="U225" s="296">
        <f t="shared" si="109"/>
        <v>16435951.584092641</v>
      </c>
      <c r="V225" s="296">
        <f t="shared" si="109"/>
        <v>16435951.584092641</v>
      </c>
      <c r="W225" s="296">
        <f t="shared" si="109"/>
        <v>16435951.584092641</v>
      </c>
      <c r="X225" s="296">
        <f t="shared" si="109"/>
        <v>16435951.584092641</v>
      </c>
      <c r="Y225" s="296">
        <f t="shared" si="109"/>
        <v>16435951.584092641</v>
      </c>
      <c r="Z225" s="296">
        <f t="shared" si="109"/>
        <v>16435951.584092641</v>
      </c>
      <c r="AA225" s="296">
        <f t="shared" si="109"/>
        <v>16435951.584092641</v>
      </c>
      <c r="AB225" s="296">
        <f t="shared" si="109"/>
        <v>16435951.584092641</v>
      </c>
      <c r="AC225" s="296">
        <f t="shared" si="109"/>
        <v>16435951.584092641</v>
      </c>
      <c r="AD225" s="296">
        <f t="shared" si="109"/>
        <v>16435951.584092641</v>
      </c>
      <c r="AE225" s="296">
        <f t="shared" si="109"/>
        <v>16435951.584092641</v>
      </c>
      <c r="AF225" s="296">
        <f t="shared" si="109"/>
        <v>16435951.584092641</v>
      </c>
      <c r="AG225" s="296">
        <f t="shared" si="109"/>
        <v>16435951.584092641</v>
      </c>
      <c r="AH225" s="296">
        <f t="shared" si="109"/>
        <v>16435951.584092641</v>
      </c>
      <c r="AI225" s="333">
        <f t="shared" si="107"/>
        <v>328719031.68185282</v>
      </c>
      <c r="AJ225" s="16">
        <f t="shared" si="98"/>
        <v>16435951.584092641</v>
      </c>
    </row>
    <row r="226" spans="1:37" x14ac:dyDescent="0.25">
      <c r="A226" s="21"/>
      <c r="B226" s="293"/>
      <c r="C226" s="277" t="s">
        <v>37</v>
      </c>
      <c r="D226" s="283"/>
      <c r="E226" s="296">
        <f t="shared" ref="E226:AH226" si="110">E69</f>
        <v>0</v>
      </c>
      <c r="F226" s="296">
        <f t="shared" si="110"/>
        <v>0</v>
      </c>
      <c r="G226" s="296">
        <f t="shared" si="110"/>
        <v>0</v>
      </c>
      <c r="H226" s="296">
        <f t="shared" si="110"/>
        <v>0</v>
      </c>
      <c r="I226" s="296">
        <f t="shared" si="110"/>
        <v>0</v>
      </c>
      <c r="J226" s="296">
        <f t="shared" si="110"/>
        <v>0</v>
      </c>
      <c r="K226" s="296">
        <f t="shared" si="110"/>
        <v>0</v>
      </c>
      <c r="L226" s="296">
        <f t="shared" si="110"/>
        <v>0</v>
      </c>
      <c r="M226" s="296">
        <f t="shared" si="110"/>
        <v>0</v>
      </c>
      <c r="N226" s="296">
        <f t="shared" si="110"/>
        <v>0</v>
      </c>
      <c r="O226" s="296">
        <f t="shared" si="110"/>
        <v>0</v>
      </c>
      <c r="P226" s="296">
        <f t="shared" si="110"/>
        <v>0</v>
      </c>
      <c r="Q226" s="296">
        <f t="shared" si="110"/>
        <v>0</v>
      </c>
      <c r="R226" s="296">
        <f t="shared" si="110"/>
        <v>0</v>
      </c>
      <c r="S226" s="296">
        <f t="shared" si="110"/>
        <v>0</v>
      </c>
      <c r="T226" s="296">
        <f t="shared" si="110"/>
        <v>0</v>
      </c>
      <c r="U226" s="296">
        <f t="shared" si="110"/>
        <v>0</v>
      </c>
      <c r="V226" s="296">
        <f t="shared" si="110"/>
        <v>0</v>
      </c>
      <c r="W226" s="296">
        <f t="shared" si="110"/>
        <v>0</v>
      </c>
      <c r="X226" s="296">
        <f t="shared" si="110"/>
        <v>0</v>
      </c>
      <c r="Y226" s="296">
        <f t="shared" si="110"/>
        <v>0</v>
      </c>
      <c r="Z226" s="296">
        <f t="shared" si="110"/>
        <v>0</v>
      </c>
      <c r="AA226" s="296">
        <f t="shared" si="110"/>
        <v>0</v>
      </c>
      <c r="AB226" s="296">
        <f t="shared" si="110"/>
        <v>0</v>
      </c>
      <c r="AC226" s="296">
        <f t="shared" si="110"/>
        <v>0</v>
      </c>
      <c r="AD226" s="296">
        <f t="shared" si="110"/>
        <v>0</v>
      </c>
      <c r="AE226" s="296">
        <f t="shared" si="110"/>
        <v>0</v>
      </c>
      <c r="AF226" s="296">
        <f t="shared" si="110"/>
        <v>0</v>
      </c>
      <c r="AG226" s="296">
        <f t="shared" si="110"/>
        <v>0</v>
      </c>
      <c r="AH226" s="296">
        <f t="shared" si="110"/>
        <v>0</v>
      </c>
      <c r="AI226" s="329">
        <f t="shared" si="107"/>
        <v>0</v>
      </c>
      <c r="AJ226" s="16">
        <f t="shared" si="98"/>
        <v>0</v>
      </c>
    </row>
    <row r="227" spans="1:37" x14ac:dyDescent="0.25">
      <c r="A227" s="21"/>
      <c r="B227" s="293"/>
      <c r="C227" s="277" t="s">
        <v>37</v>
      </c>
      <c r="D227" s="283"/>
      <c r="E227" s="296">
        <f t="shared" ref="E227:AH227" si="111">E70</f>
        <v>0</v>
      </c>
      <c r="F227" s="296">
        <f t="shared" si="111"/>
        <v>0</v>
      </c>
      <c r="G227" s="296">
        <f t="shared" si="111"/>
        <v>0</v>
      </c>
      <c r="H227" s="296">
        <f t="shared" si="111"/>
        <v>0</v>
      </c>
      <c r="I227" s="296">
        <f t="shared" si="111"/>
        <v>0</v>
      </c>
      <c r="J227" s="296">
        <f t="shared" si="111"/>
        <v>0</v>
      </c>
      <c r="K227" s="296">
        <f t="shared" si="111"/>
        <v>0</v>
      </c>
      <c r="L227" s="296">
        <f t="shared" si="111"/>
        <v>0</v>
      </c>
      <c r="M227" s="296">
        <f t="shared" si="111"/>
        <v>0</v>
      </c>
      <c r="N227" s="296">
        <f t="shared" si="111"/>
        <v>0</v>
      </c>
      <c r="O227" s="296">
        <f t="shared" si="111"/>
        <v>0</v>
      </c>
      <c r="P227" s="296">
        <f t="shared" si="111"/>
        <v>0</v>
      </c>
      <c r="Q227" s="296">
        <f t="shared" si="111"/>
        <v>0</v>
      </c>
      <c r="R227" s="296">
        <f t="shared" si="111"/>
        <v>0</v>
      </c>
      <c r="S227" s="296">
        <f t="shared" si="111"/>
        <v>0</v>
      </c>
      <c r="T227" s="296">
        <f t="shared" si="111"/>
        <v>0</v>
      </c>
      <c r="U227" s="296">
        <f t="shared" si="111"/>
        <v>0</v>
      </c>
      <c r="V227" s="296">
        <f t="shared" si="111"/>
        <v>0</v>
      </c>
      <c r="W227" s="296">
        <f t="shared" si="111"/>
        <v>0</v>
      </c>
      <c r="X227" s="296">
        <f t="shared" si="111"/>
        <v>0</v>
      </c>
      <c r="Y227" s="296">
        <f t="shared" si="111"/>
        <v>0</v>
      </c>
      <c r="Z227" s="296">
        <f t="shared" si="111"/>
        <v>0</v>
      </c>
      <c r="AA227" s="296">
        <f t="shared" si="111"/>
        <v>0</v>
      </c>
      <c r="AB227" s="296">
        <f t="shared" si="111"/>
        <v>0</v>
      </c>
      <c r="AC227" s="296">
        <f t="shared" si="111"/>
        <v>0</v>
      </c>
      <c r="AD227" s="296">
        <f t="shared" si="111"/>
        <v>0</v>
      </c>
      <c r="AE227" s="296">
        <f t="shared" si="111"/>
        <v>0</v>
      </c>
      <c r="AF227" s="296">
        <f t="shared" si="111"/>
        <v>0</v>
      </c>
      <c r="AG227" s="296">
        <f t="shared" si="111"/>
        <v>0</v>
      </c>
      <c r="AH227" s="296">
        <f t="shared" si="111"/>
        <v>0</v>
      </c>
      <c r="AI227" s="329">
        <f>SUM(E227:X227)</f>
        <v>0</v>
      </c>
      <c r="AJ227" s="16">
        <f t="shared" si="98"/>
        <v>0</v>
      </c>
    </row>
    <row r="228" spans="1:37" x14ac:dyDescent="0.25">
      <c r="A228" s="21"/>
      <c r="B228" s="293" t="s">
        <v>120</v>
      </c>
      <c r="C228" s="276" t="s">
        <v>37</v>
      </c>
      <c r="D228" s="282"/>
      <c r="E228" s="294">
        <f>MAX(-E76-E82-E83,0)</f>
        <v>32922425.115324393</v>
      </c>
      <c r="F228" s="296">
        <f t="shared" ref="F228:AH228" si="112">MAX(-F76-F82-F83,0)</f>
        <v>31833818.212197538</v>
      </c>
      <c r="G228" s="296">
        <f t="shared" si="112"/>
        <v>30745211.30907068</v>
      </c>
      <c r="H228" s="296">
        <f t="shared" si="112"/>
        <v>29656604.405943822</v>
      </c>
      <c r="I228" s="296">
        <f t="shared" si="112"/>
        <v>28567997.502816964</v>
      </c>
      <c r="J228" s="296">
        <f t="shared" si="112"/>
        <v>27479390.599690106</v>
      </c>
      <c r="K228" s="296">
        <f t="shared" si="112"/>
        <v>26390783.696563248</v>
      </c>
      <c r="L228" s="296">
        <f t="shared" si="112"/>
        <v>25302176.793436389</v>
      </c>
      <c r="M228" s="296">
        <f t="shared" si="112"/>
        <v>24213569.890309535</v>
      </c>
      <c r="N228" s="296">
        <f t="shared" si="112"/>
        <v>23124962.987182677</v>
      </c>
      <c r="O228" s="296">
        <f t="shared" si="112"/>
        <v>22036356.084055819</v>
      </c>
      <c r="P228" s="296">
        <f t="shared" si="112"/>
        <v>20947749.18092896</v>
      </c>
      <c r="Q228" s="296">
        <f t="shared" si="112"/>
        <v>19859142.277802102</v>
      </c>
      <c r="R228" s="296">
        <f t="shared" si="112"/>
        <v>18770535.374675244</v>
      </c>
      <c r="S228" s="296">
        <f t="shared" si="112"/>
        <v>17681928.471548386</v>
      </c>
      <c r="T228" s="296">
        <f t="shared" si="112"/>
        <v>40048668.238930129</v>
      </c>
      <c r="U228" s="296">
        <f t="shared" si="112"/>
        <v>40054644.180427007</v>
      </c>
      <c r="V228" s="296">
        <f t="shared" si="112"/>
        <v>40060620.121923879</v>
      </c>
      <c r="W228" s="296">
        <f t="shared" si="112"/>
        <v>40066596.063420758</v>
      </c>
      <c r="X228" s="296">
        <f t="shared" si="112"/>
        <v>40072572.004917637</v>
      </c>
      <c r="Y228" s="296">
        <f t="shared" si="112"/>
        <v>40078547.946414515</v>
      </c>
      <c r="Z228" s="296">
        <f t="shared" si="112"/>
        <v>39934523.887911394</v>
      </c>
      <c r="AA228" s="296">
        <f t="shared" si="112"/>
        <v>39790499.829408266</v>
      </c>
      <c r="AB228" s="296">
        <f t="shared" si="112"/>
        <v>39646475.770905145</v>
      </c>
      <c r="AC228" s="296">
        <f t="shared" si="112"/>
        <v>39502451.712402023</v>
      </c>
      <c r="AD228" s="296">
        <f t="shared" si="112"/>
        <v>39358427.653898895</v>
      </c>
      <c r="AE228" s="296">
        <f t="shared" si="112"/>
        <v>39214403.595395774</v>
      </c>
      <c r="AF228" s="296">
        <f t="shared" si="112"/>
        <v>39070379.536892653</v>
      </c>
      <c r="AG228" s="296">
        <f t="shared" si="112"/>
        <v>38926355.478389531</v>
      </c>
      <c r="AH228" s="324">
        <f t="shared" si="112"/>
        <v>38782331.41988641</v>
      </c>
      <c r="AI228" s="329">
        <f t="shared" si="107"/>
        <v>579835752.51116514</v>
      </c>
      <c r="AJ228" s="16">
        <f t="shared" si="98"/>
        <v>28991787.625558257</v>
      </c>
    </row>
    <row r="229" spans="1:37" x14ac:dyDescent="0.25">
      <c r="A229" s="21"/>
      <c r="B229" s="274" t="s">
        <v>8</v>
      </c>
      <c r="C229" s="194" t="s">
        <v>37</v>
      </c>
      <c r="D229" s="281"/>
      <c r="E229" s="608">
        <f t="shared" ref="E229:AH229" si="113">-E75</f>
        <v>10000000</v>
      </c>
      <c r="F229" s="294">
        <f t="shared" si="113"/>
        <v>9500000</v>
      </c>
      <c r="G229" s="294">
        <f t="shared" si="113"/>
        <v>9000000</v>
      </c>
      <c r="H229" s="294">
        <f t="shared" si="113"/>
        <v>8500000</v>
      </c>
      <c r="I229" s="294">
        <f t="shared" si="113"/>
        <v>8000000</v>
      </c>
      <c r="J229" s="607">
        <f t="shared" si="113"/>
        <v>7500000</v>
      </c>
      <c r="K229" s="294">
        <f t="shared" si="113"/>
        <v>7000000</v>
      </c>
      <c r="L229" s="294">
        <f t="shared" si="113"/>
        <v>6500000</v>
      </c>
      <c r="M229" s="294">
        <f t="shared" si="113"/>
        <v>6000000</v>
      </c>
      <c r="N229" s="294">
        <f t="shared" si="113"/>
        <v>5500000</v>
      </c>
      <c r="O229" s="294">
        <f t="shared" si="113"/>
        <v>5000000</v>
      </c>
      <c r="P229" s="294">
        <f t="shared" si="113"/>
        <v>4500000</v>
      </c>
      <c r="Q229" s="294">
        <f t="shared" si="113"/>
        <v>4000000</v>
      </c>
      <c r="R229" s="294">
        <f t="shared" si="113"/>
        <v>3500000</v>
      </c>
      <c r="S229" s="294">
        <f t="shared" si="113"/>
        <v>3000000</v>
      </c>
      <c r="T229" s="294">
        <f t="shared" si="113"/>
        <v>2500000</v>
      </c>
      <c r="U229" s="294">
        <f t="shared" si="113"/>
        <v>2000000</v>
      </c>
      <c r="V229" s="294">
        <f t="shared" si="113"/>
        <v>1500000</v>
      </c>
      <c r="W229" s="294">
        <f t="shared" si="113"/>
        <v>1000000</v>
      </c>
      <c r="X229" s="294">
        <f t="shared" si="113"/>
        <v>500000</v>
      </c>
      <c r="Y229" s="294">
        <f t="shared" si="113"/>
        <v>0</v>
      </c>
      <c r="Z229" s="294">
        <f t="shared" si="113"/>
        <v>0</v>
      </c>
      <c r="AA229" s="294">
        <f t="shared" si="113"/>
        <v>0</v>
      </c>
      <c r="AB229" s="294">
        <f t="shared" si="113"/>
        <v>0</v>
      </c>
      <c r="AC229" s="294">
        <f t="shared" si="113"/>
        <v>0</v>
      </c>
      <c r="AD229" s="294">
        <f t="shared" si="113"/>
        <v>0</v>
      </c>
      <c r="AE229" s="294">
        <f t="shared" si="113"/>
        <v>0</v>
      </c>
      <c r="AF229" s="294">
        <f t="shared" si="113"/>
        <v>0</v>
      </c>
      <c r="AG229" s="294">
        <f t="shared" si="113"/>
        <v>0</v>
      </c>
      <c r="AH229" s="325">
        <f t="shared" si="113"/>
        <v>0</v>
      </c>
      <c r="AI229" s="330">
        <f t="shared" si="107"/>
        <v>105000000</v>
      </c>
      <c r="AJ229" s="16">
        <f t="shared" si="98"/>
        <v>5250000</v>
      </c>
    </row>
    <row r="230" spans="1:37" x14ac:dyDescent="0.25">
      <c r="A230" s="21"/>
      <c r="B230" s="358"/>
      <c r="C230" s="360" t="s">
        <v>37</v>
      </c>
      <c r="D230" s="355"/>
      <c r="E230" s="319">
        <v>0</v>
      </c>
      <c r="F230" s="356">
        <v>0</v>
      </c>
      <c r="G230" s="356">
        <v>0</v>
      </c>
      <c r="H230" s="356">
        <v>0</v>
      </c>
      <c r="I230" s="356">
        <v>0</v>
      </c>
      <c r="J230" s="356">
        <v>0</v>
      </c>
      <c r="K230" s="356">
        <v>0</v>
      </c>
      <c r="L230" s="356">
        <v>0</v>
      </c>
      <c r="M230" s="356">
        <v>0</v>
      </c>
      <c r="N230" s="356">
        <v>0</v>
      </c>
      <c r="O230" s="356">
        <v>0</v>
      </c>
      <c r="P230" s="356">
        <v>0</v>
      </c>
      <c r="Q230" s="356">
        <v>0</v>
      </c>
      <c r="R230" s="356">
        <v>0</v>
      </c>
      <c r="S230" s="356">
        <v>0</v>
      </c>
      <c r="T230" s="356">
        <v>0</v>
      </c>
      <c r="U230" s="356">
        <v>0</v>
      </c>
      <c r="V230" s="356">
        <v>0</v>
      </c>
      <c r="W230" s="356">
        <v>0</v>
      </c>
      <c r="X230" s="356">
        <v>0</v>
      </c>
      <c r="Y230" s="356">
        <v>0</v>
      </c>
      <c r="Z230" s="356">
        <v>0</v>
      </c>
      <c r="AA230" s="356">
        <v>0</v>
      </c>
      <c r="AB230" s="356">
        <v>0</v>
      </c>
      <c r="AC230" s="356">
        <v>0</v>
      </c>
      <c r="AD230" s="356">
        <v>0</v>
      </c>
      <c r="AE230" s="356">
        <v>0</v>
      </c>
      <c r="AF230" s="356">
        <v>0</v>
      </c>
      <c r="AG230" s="356">
        <v>0</v>
      </c>
      <c r="AH230" s="357">
        <v>0</v>
      </c>
      <c r="AI230" s="330">
        <f t="shared" si="107"/>
        <v>0</v>
      </c>
      <c r="AJ230" s="16">
        <f t="shared" si="98"/>
        <v>0</v>
      </c>
    </row>
    <row r="231" spans="1:37" x14ac:dyDescent="0.25">
      <c r="A231" s="21"/>
      <c r="B231" s="295"/>
      <c r="C231" s="359" t="s">
        <v>37</v>
      </c>
      <c r="D231" s="284"/>
      <c r="E231" s="297">
        <f>-E78</f>
        <v>0</v>
      </c>
      <c r="F231" s="297">
        <f t="shared" ref="F231:AH231" si="114">-F78</f>
        <v>0</v>
      </c>
      <c r="G231" s="297">
        <f t="shared" si="114"/>
        <v>0</v>
      </c>
      <c r="H231" s="297">
        <f t="shared" si="114"/>
        <v>0</v>
      </c>
      <c r="I231" s="297">
        <f t="shared" si="114"/>
        <v>0</v>
      </c>
      <c r="J231" s="297">
        <f t="shared" si="114"/>
        <v>0</v>
      </c>
      <c r="K231" s="297">
        <f t="shared" si="114"/>
        <v>0</v>
      </c>
      <c r="L231" s="297">
        <f t="shared" si="114"/>
        <v>0</v>
      </c>
      <c r="M231" s="297">
        <f t="shared" si="114"/>
        <v>0</v>
      </c>
      <c r="N231" s="297">
        <f t="shared" si="114"/>
        <v>0</v>
      </c>
      <c r="O231" s="297">
        <f t="shared" si="114"/>
        <v>0</v>
      </c>
      <c r="P231" s="297">
        <f t="shared" si="114"/>
        <v>0</v>
      </c>
      <c r="Q231" s="297">
        <f t="shared" si="114"/>
        <v>0</v>
      </c>
      <c r="R231" s="297">
        <f t="shared" si="114"/>
        <v>0</v>
      </c>
      <c r="S231" s="297">
        <f t="shared" si="114"/>
        <v>0</v>
      </c>
      <c r="T231" s="297">
        <f t="shared" si="114"/>
        <v>0</v>
      </c>
      <c r="U231" s="297">
        <f t="shared" si="114"/>
        <v>0</v>
      </c>
      <c r="V231" s="297">
        <f t="shared" si="114"/>
        <v>0</v>
      </c>
      <c r="W231" s="297">
        <f t="shared" si="114"/>
        <v>0</v>
      </c>
      <c r="X231" s="297">
        <f t="shared" si="114"/>
        <v>0</v>
      </c>
      <c r="Y231" s="297">
        <f t="shared" si="114"/>
        <v>0</v>
      </c>
      <c r="Z231" s="297">
        <f t="shared" si="114"/>
        <v>0</v>
      </c>
      <c r="AA231" s="297">
        <f t="shared" si="114"/>
        <v>0</v>
      </c>
      <c r="AB231" s="297">
        <f t="shared" si="114"/>
        <v>0</v>
      </c>
      <c r="AC231" s="297">
        <f t="shared" si="114"/>
        <v>0</v>
      </c>
      <c r="AD231" s="297">
        <f t="shared" si="114"/>
        <v>0</v>
      </c>
      <c r="AE231" s="297">
        <f t="shared" si="114"/>
        <v>0</v>
      </c>
      <c r="AF231" s="297">
        <f t="shared" si="114"/>
        <v>0</v>
      </c>
      <c r="AG231" s="297">
        <f t="shared" si="114"/>
        <v>0</v>
      </c>
      <c r="AH231" s="322">
        <f t="shared" si="114"/>
        <v>0</v>
      </c>
      <c r="AI231" s="330">
        <f t="shared" si="107"/>
        <v>0</v>
      </c>
      <c r="AJ231" s="16">
        <f t="shared" si="98"/>
        <v>0</v>
      </c>
      <c r="AK231" s="20">
        <f>SUM(AJ215:AJ231)</f>
        <v>276785792.36818004</v>
      </c>
    </row>
    <row r="232" spans="1:37" ht="13" thickBot="1" x14ac:dyDescent="0.3">
      <c r="A232" s="21"/>
      <c r="B232" s="286" t="s">
        <v>69</v>
      </c>
      <c r="C232" s="287"/>
      <c r="D232" s="288">
        <f>SUM(D214:D231)*-1</f>
        <v>-1563689778.0339069</v>
      </c>
      <c r="E232" s="288">
        <f>SUM(E214:E231)-E203-E208</f>
        <v>-91988723.946092993</v>
      </c>
      <c r="F232" s="288">
        <f t="shared" ref="F232:AG232" si="115">SUM(F214:F231)-F203-F208</f>
        <v>-93577330.849219859</v>
      </c>
      <c r="G232" s="288">
        <f t="shared" si="115"/>
        <v>-95165937.752346709</v>
      </c>
      <c r="H232" s="288">
        <f t="shared" si="115"/>
        <v>-96754544.655473575</v>
      </c>
      <c r="I232" s="288">
        <f t="shared" si="115"/>
        <v>-98343151.558600426</v>
      </c>
      <c r="J232" s="288">
        <f t="shared" si="115"/>
        <v>-99931758.461727291</v>
      </c>
      <c r="K232" s="288">
        <f t="shared" si="115"/>
        <v>-101520365.36485414</v>
      </c>
      <c r="L232" s="288">
        <f t="shared" si="115"/>
        <v>-103108972.26798101</v>
      </c>
      <c r="M232" s="288">
        <f t="shared" si="115"/>
        <v>-104697579.17110786</v>
      </c>
      <c r="N232" s="288">
        <f t="shared" si="115"/>
        <v>-106286186.07423472</v>
      </c>
      <c r="O232" s="288">
        <f t="shared" si="115"/>
        <v>-107874792.97736157</v>
      </c>
      <c r="P232" s="288">
        <f t="shared" si="115"/>
        <v>-109463399.88048843</v>
      </c>
      <c r="Q232" s="288">
        <f t="shared" si="115"/>
        <v>-111052006.78361529</v>
      </c>
      <c r="R232" s="288">
        <f t="shared" si="115"/>
        <v>-112640613.68674216</v>
      </c>
      <c r="S232" s="288">
        <f t="shared" si="115"/>
        <v>-114229220.58986901</v>
      </c>
      <c r="T232" s="288">
        <f t="shared" si="115"/>
        <v>-92362480.822487265</v>
      </c>
      <c r="U232" s="288">
        <f t="shared" si="115"/>
        <v>-92856504.880990386</v>
      </c>
      <c r="V232" s="288">
        <f t="shared" si="115"/>
        <v>-93350528.939493507</v>
      </c>
      <c r="W232" s="288">
        <f t="shared" si="115"/>
        <v>-93844552.997996628</v>
      </c>
      <c r="X232" s="288">
        <f t="shared" si="115"/>
        <v>-94338577.056499749</v>
      </c>
      <c r="Y232" s="288">
        <f t="shared" si="115"/>
        <v>-94832601.115002871</v>
      </c>
      <c r="Z232" s="288">
        <f t="shared" si="115"/>
        <v>-94976625.173505992</v>
      </c>
      <c r="AA232" s="288">
        <f t="shared" si="115"/>
        <v>-95120649.232009128</v>
      </c>
      <c r="AB232" s="288">
        <f t="shared" si="115"/>
        <v>-95264673.290512249</v>
      </c>
      <c r="AC232" s="288">
        <f t="shared" si="115"/>
        <v>-95408697.34901537</v>
      </c>
      <c r="AD232" s="288">
        <f t="shared" si="115"/>
        <v>-95552721.407518506</v>
      </c>
      <c r="AE232" s="288">
        <f t="shared" si="115"/>
        <v>-95696745.466021627</v>
      </c>
      <c r="AF232" s="288">
        <f t="shared" si="115"/>
        <v>-95840769.524524748</v>
      </c>
      <c r="AG232" s="288">
        <f t="shared" si="115"/>
        <v>-95984793.583027869</v>
      </c>
      <c r="AH232" s="326">
        <f>SUM(AH214:AH231)-AH203-AH208</f>
        <v>-96128817.641530991</v>
      </c>
      <c r="AI232" s="330">
        <f>SUM(D232:X232)</f>
        <v>-3577077006.7510905</v>
      </c>
      <c r="AJ232" s="16">
        <f>AI232/20</f>
        <v>-178853850.33755451</v>
      </c>
    </row>
    <row r="233" spans="1:37" x14ac:dyDescent="0.25">
      <c r="AI233" s="331"/>
    </row>
    <row r="234" spans="1:37" ht="13" thickBot="1" x14ac:dyDescent="0.3"/>
    <row r="235" spans="1:37" ht="13" thickBot="1" x14ac:dyDescent="0.3">
      <c r="A235" s="21"/>
      <c r="B235" s="678" t="s">
        <v>18</v>
      </c>
      <c r="C235" s="192" t="s">
        <v>450</v>
      </c>
      <c r="D235" s="27" t="s">
        <v>451</v>
      </c>
      <c r="E235" s="28" t="s">
        <v>452</v>
      </c>
      <c r="F235" s="28" t="s">
        <v>453</v>
      </c>
      <c r="G235" s="28" t="s">
        <v>454</v>
      </c>
      <c r="H235" s="28" t="s">
        <v>455</v>
      </c>
      <c r="I235" s="28" t="s">
        <v>456</v>
      </c>
      <c r="J235" s="28" t="s">
        <v>457</v>
      </c>
      <c r="K235" s="28" t="s">
        <v>458</v>
      </c>
      <c r="L235" s="28" t="s">
        <v>459</v>
      </c>
      <c r="M235" s="28" t="s">
        <v>460</v>
      </c>
      <c r="N235" s="28" t="s">
        <v>461</v>
      </c>
      <c r="O235" s="28" t="s">
        <v>462</v>
      </c>
      <c r="P235" s="28" t="s">
        <v>463</v>
      </c>
      <c r="Q235" s="28" t="s">
        <v>464</v>
      </c>
      <c r="R235" s="28" t="s">
        <v>465</v>
      </c>
      <c r="S235" s="28" t="s">
        <v>466</v>
      </c>
      <c r="T235" s="28" t="s">
        <v>467</v>
      </c>
      <c r="U235" s="28" t="s">
        <v>468</v>
      </c>
      <c r="V235" s="28" t="s">
        <v>469</v>
      </c>
      <c r="W235" s="80" t="s">
        <v>470</v>
      </c>
      <c r="X235" s="28" t="s">
        <v>471</v>
      </c>
      <c r="Y235" s="28" t="s">
        <v>472</v>
      </c>
      <c r="Z235" s="28" t="s">
        <v>473</v>
      </c>
      <c r="AA235" s="28" t="s">
        <v>474</v>
      </c>
      <c r="AB235" s="28" t="s">
        <v>475</v>
      </c>
      <c r="AC235" s="28" t="s">
        <v>476</v>
      </c>
      <c r="AD235" s="28" t="s">
        <v>477</v>
      </c>
      <c r="AE235" s="28" t="s">
        <v>478</v>
      </c>
      <c r="AF235" s="28" t="s">
        <v>479</v>
      </c>
      <c r="AG235" s="72" t="s">
        <v>480</v>
      </c>
      <c r="AH235" s="29" t="s">
        <v>160</v>
      </c>
      <c r="AI235" s="29" t="s">
        <v>485</v>
      </c>
    </row>
    <row r="236" spans="1:37" x14ac:dyDescent="0.25">
      <c r="A236" s="21"/>
      <c r="B236" s="1335" t="s">
        <v>269</v>
      </c>
      <c r="C236" s="1329">
        <f t="shared" ref="C236:AG236" si="116">D203/1000000</f>
        <v>0</v>
      </c>
      <c r="D236" s="1308">
        <f t="shared" si="116"/>
        <v>68.270664902343768</v>
      </c>
      <c r="E236" s="1309">
        <f t="shared" si="116"/>
        <v>68.270664902343768</v>
      </c>
      <c r="F236" s="1309">
        <f t="shared" si="116"/>
        <v>68.270664902343768</v>
      </c>
      <c r="G236" s="1309">
        <f t="shared" si="116"/>
        <v>68.270664902343768</v>
      </c>
      <c r="H236" s="1309">
        <f t="shared" si="116"/>
        <v>68.270664902343768</v>
      </c>
      <c r="I236" s="1309">
        <f t="shared" si="116"/>
        <v>68.270664902343768</v>
      </c>
      <c r="J236" s="1309">
        <f t="shared" si="116"/>
        <v>68.270664902343768</v>
      </c>
      <c r="K236" s="1309">
        <f t="shared" si="116"/>
        <v>68.270664902343768</v>
      </c>
      <c r="L236" s="1309">
        <f t="shared" si="116"/>
        <v>68.270664902343768</v>
      </c>
      <c r="M236" s="1309">
        <f t="shared" si="116"/>
        <v>68.270664902343768</v>
      </c>
      <c r="N236" s="1309">
        <f t="shared" si="116"/>
        <v>68.270664902343768</v>
      </c>
      <c r="O236" s="1309">
        <f t="shared" si="116"/>
        <v>68.270664902343768</v>
      </c>
      <c r="P236" s="1309">
        <f t="shared" si="116"/>
        <v>68.270664902343768</v>
      </c>
      <c r="Q236" s="1309">
        <f t="shared" si="116"/>
        <v>68.270664902343768</v>
      </c>
      <c r="R236" s="1309">
        <f t="shared" si="116"/>
        <v>68.270664902343768</v>
      </c>
      <c r="S236" s="1309">
        <f t="shared" si="116"/>
        <v>68.270664902343768</v>
      </c>
      <c r="T236" s="1309">
        <f t="shared" si="116"/>
        <v>68.270664902343768</v>
      </c>
      <c r="U236" s="1309">
        <f t="shared" si="116"/>
        <v>68.270664902343768</v>
      </c>
      <c r="V236" s="1309">
        <f t="shared" si="116"/>
        <v>68.270664902343768</v>
      </c>
      <c r="W236" s="1309">
        <f t="shared" si="116"/>
        <v>68.270664902343768</v>
      </c>
      <c r="X236" s="1309">
        <f t="shared" si="116"/>
        <v>68.270664902343768</v>
      </c>
      <c r="Y236" s="1309">
        <f t="shared" si="116"/>
        <v>68.270664902343768</v>
      </c>
      <c r="Z236" s="1309">
        <f t="shared" si="116"/>
        <v>68.270664902343768</v>
      </c>
      <c r="AA236" s="1309">
        <f t="shared" si="116"/>
        <v>68.270664902343768</v>
      </c>
      <c r="AB236" s="1309">
        <f t="shared" si="116"/>
        <v>68.270664902343768</v>
      </c>
      <c r="AC236" s="1309">
        <f t="shared" si="116"/>
        <v>68.270664902343768</v>
      </c>
      <c r="AD236" s="1309">
        <f t="shared" si="116"/>
        <v>68.270664902343768</v>
      </c>
      <c r="AE236" s="1309">
        <f t="shared" si="116"/>
        <v>68.270664902343768</v>
      </c>
      <c r="AF236" s="1309">
        <f t="shared" si="116"/>
        <v>68.270664902343768</v>
      </c>
      <c r="AG236" s="1310">
        <f t="shared" si="116"/>
        <v>68.270664902343768</v>
      </c>
      <c r="AH236" s="1311">
        <f>SUM(C236:W236)</f>
        <v>1365.4132980468753</v>
      </c>
      <c r="AI236" s="1311">
        <f>SUM(C236:AG236)</f>
        <v>2048.1199470703123</v>
      </c>
      <c r="AJ236" s="10">
        <f>AH236/20</f>
        <v>68.270664902343768</v>
      </c>
    </row>
    <row r="237" spans="1:37" x14ac:dyDescent="0.25">
      <c r="A237" s="21"/>
      <c r="B237" s="1336" t="s">
        <v>940</v>
      </c>
      <c r="C237" s="1330">
        <f t="shared" ref="C237:AG237" si="117">-D214/1000000</f>
        <v>0</v>
      </c>
      <c r="D237" s="1312">
        <f>-E214/1000000</f>
        <v>231</v>
      </c>
      <c r="E237" s="1313">
        <f t="shared" si="117"/>
        <v>231</v>
      </c>
      <c r="F237" s="1313">
        <f t="shared" si="117"/>
        <v>231</v>
      </c>
      <c r="G237" s="1313">
        <f t="shared" si="117"/>
        <v>231</v>
      </c>
      <c r="H237" s="1313">
        <f t="shared" si="117"/>
        <v>231</v>
      </c>
      <c r="I237" s="1313">
        <f t="shared" si="117"/>
        <v>231</v>
      </c>
      <c r="J237" s="1313">
        <f t="shared" si="117"/>
        <v>231</v>
      </c>
      <c r="K237" s="1313">
        <f t="shared" si="117"/>
        <v>231</v>
      </c>
      <c r="L237" s="1313">
        <f t="shared" si="117"/>
        <v>231</v>
      </c>
      <c r="M237" s="1313">
        <f t="shared" si="117"/>
        <v>231</v>
      </c>
      <c r="N237" s="1313">
        <f t="shared" si="117"/>
        <v>231</v>
      </c>
      <c r="O237" s="1313">
        <f t="shared" si="117"/>
        <v>231</v>
      </c>
      <c r="P237" s="1313">
        <f t="shared" si="117"/>
        <v>231</v>
      </c>
      <c r="Q237" s="1313">
        <f t="shared" si="117"/>
        <v>231</v>
      </c>
      <c r="R237" s="1313">
        <f t="shared" si="117"/>
        <v>231</v>
      </c>
      <c r="S237" s="1313">
        <f t="shared" si="117"/>
        <v>231</v>
      </c>
      <c r="T237" s="1313">
        <f t="shared" si="117"/>
        <v>231</v>
      </c>
      <c r="U237" s="1313">
        <f t="shared" si="117"/>
        <v>231</v>
      </c>
      <c r="V237" s="1313">
        <f t="shared" si="117"/>
        <v>231</v>
      </c>
      <c r="W237" s="1313">
        <f t="shared" si="117"/>
        <v>231</v>
      </c>
      <c r="X237" s="1313">
        <f t="shared" si="117"/>
        <v>231</v>
      </c>
      <c r="Y237" s="1313">
        <f t="shared" si="117"/>
        <v>231</v>
      </c>
      <c r="Z237" s="1313">
        <f t="shared" si="117"/>
        <v>231</v>
      </c>
      <c r="AA237" s="1313">
        <f t="shared" si="117"/>
        <v>231</v>
      </c>
      <c r="AB237" s="1313">
        <f t="shared" si="117"/>
        <v>231</v>
      </c>
      <c r="AC237" s="1313">
        <f t="shared" si="117"/>
        <v>231</v>
      </c>
      <c r="AD237" s="1313">
        <f t="shared" si="117"/>
        <v>231</v>
      </c>
      <c r="AE237" s="1313">
        <f t="shared" si="117"/>
        <v>231</v>
      </c>
      <c r="AF237" s="1313">
        <f t="shared" si="117"/>
        <v>231</v>
      </c>
      <c r="AG237" s="1314">
        <f t="shared" si="117"/>
        <v>231</v>
      </c>
      <c r="AH237" s="1315">
        <f t="shared" ref="AH237:AH248" si="118">SUM(C237:W237)</f>
        <v>4620</v>
      </c>
      <c r="AI237" s="1315">
        <f t="shared" ref="AI237:AI248" si="119">SUM(C237:AG237)</f>
        <v>6930</v>
      </c>
      <c r="AJ237" s="10">
        <f t="shared" ref="AJ237:AJ250" si="120">AH237/20</f>
        <v>231</v>
      </c>
    </row>
    <row r="238" spans="1:37" x14ac:dyDescent="0.25">
      <c r="A238" s="21"/>
      <c r="B238" s="1183" t="s">
        <v>941</v>
      </c>
      <c r="C238" s="1331">
        <f>SUM(D206:D210)</f>
        <v>0</v>
      </c>
      <c r="D238" s="1316">
        <f>SUM(E206:E210)/1000000</f>
        <v>0.33</v>
      </c>
      <c r="E238" s="1317">
        <f>SUM(F206:F210)/1000000</f>
        <v>0.33</v>
      </c>
      <c r="F238" s="1317">
        <f t="shared" ref="F238:AG238" si="121">SUM(G206:G210)/1000000</f>
        <v>0.33</v>
      </c>
      <c r="G238" s="1317">
        <f t="shared" si="121"/>
        <v>0.33</v>
      </c>
      <c r="H238" s="1317">
        <f t="shared" si="121"/>
        <v>0.33</v>
      </c>
      <c r="I238" s="1317">
        <f t="shared" si="121"/>
        <v>0.33</v>
      </c>
      <c r="J238" s="1317">
        <f t="shared" si="121"/>
        <v>0.33</v>
      </c>
      <c r="K238" s="1317">
        <f t="shared" si="121"/>
        <v>0.33</v>
      </c>
      <c r="L238" s="1317">
        <f t="shared" si="121"/>
        <v>0.33</v>
      </c>
      <c r="M238" s="1317">
        <f t="shared" si="121"/>
        <v>0.33</v>
      </c>
      <c r="N238" s="1317">
        <f t="shared" si="121"/>
        <v>0.33</v>
      </c>
      <c r="O238" s="1317">
        <f t="shared" si="121"/>
        <v>0.33</v>
      </c>
      <c r="P238" s="1317">
        <f t="shared" si="121"/>
        <v>0.33</v>
      </c>
      <c r="Q238" s="1317">
        <f t="shared" si="121"/>
        <v>0.33</v>
      </c>
      <c r="R238" s="1317">
        <f t="shared" si="121"/>
        <v>0.33</v>
      </c>
      <c r="S238" s="1317">
        <f t="shared" si="121"/>
        <v>0.33</v>
      </c>
      <c r="T238" s="1317">
        <f t="shared" si="121"/>
        <v>0.33</v>
      </c>
      <c r="U238" s="1317">
        <f t="shared" si="121"/>
        <v>0.33</v>
      </c>
      <c r="V238" s="1317">
        <f t="shared" si="121"/>
        <v>0.33</v>
      </c>
      <c r="W238" s="1317">
        <f t="shared" si="121"/>
        <v>0.33</v>
      </c>
      <c r="X238" s="1317">
        <f t="shared" si="121"/>
        <v>0.33</v>
      </c>
      <c r="Y238" s="1317">
        <f t="shared" si="121"/>
        <v>0.33</v>
      </c>
      <c r="Z238" s="1317">
        <f t="shared" si="121"/>
        <v>0.33</v>
      </c>
      <c r="AA238" s="1317">
        <f t="shared" si="121"/>
        <v>0.33</v>
      </c>
      <c r="AB238" s="1317">
        <f t="shared" si="121"/>
        <v>0.33</v>
      </c>
      <c r="AC238" s="1317">
        <f t="shared" si="121"/>
        <v>0.33</v>
      </c>
      <c r="AD238" s="1317">
        <f t="shared" si="121"/>
        <v>0.33</v>
      </c>
      <c r="AE238" s="1317">
        <f t="shared" si="121"/>
        <v>0.33</v>
      </c>
      <c r="AF238" s="1317">
        <f t="shared" si="121"/>
        <v>0.33</v>
      </c>
      <c r="AG238" s="1318">
        <f t="shared" si="121"/>
        <v>0.33</v>
      </c>
      <c r="AH238" s="1315">
        <f t="shared" ref="AH238" si="122">SUM(C238:W238)</f>
        <v>6.6000000000000005</v>
      </c>
      <c r="AI238" s="1315">
        <f t="shared" ref="AI238" si="123">SUM(C238:AG238)</f>
        <v>9.9</v>
      </c>
      <c r="AJ238" s="10">
        <f t="shared" si="120"/>
        <v>0.33</v>
      </c>
    </row>
    <row r="239" spans="1:37" ht="13" thickBot="1" x14ac:dyDescent="0.3">
      <c r="A239" s="21"/>
      <c r="B239" s="680" t="s">
        <v>68</v>
      </c>
      <c r="C239" s="1332">
        <f t="shared" ref="C239:AG239" si="124">D211/1000000</f>
        <v>0</v>
      </c>
      <c r="D239" s="1333">
        <f t="shared" si="124"/>
        <v>0</v>
      </c>
      <c r="E239" s="1319">
        <f t="shared" si="124"/>
        <v>0</v>
      </c>
      <c r="F239" s="1319">
        <f t="shared" si="124"/>
        <v>0</v>
      </c>
      <c r="G239" s="1319">
        <f t="shared" si="124"/>
        <v>0</v>
      </c>
      <c r="H239" s="1319">
        <f t="shared" si="124"/>
        <v>0</v>
      </c>
      <c r="I239" s="1319">
        <f t="shared" si="124"/>
        <v>0</v>
      </c>
      <c r="J239" s="1319">
        <f t="shared" si="124"/>
        <v>0</v>
      </c>
      <c r="K239" s="1319">
        <f t="shared" si="124"/>
        <v>0</v>
      </c>
      <c r="L239" s="1319">
        <f t="shared" si="124"/>
        <v>0</v>
      </c>
      <c r="M239" s="1319">
        <f t="shared" si="124"/>
        <v>0</v>
      </c>
      <c r="N239" s="1319">
        <f t="shared" si="124"/>
        <v>0</v>
      </c>
      <c r="O239" s="1319">
        <f t="shared" si="124"/>
        <v>0</v>
      </c>
      <c r="P239" s="1319">
        <f t="shared" si="124"/>
        <v>0</v>
      </c>
      <c r="Q239" s="1319">
        <f t="shared" si="124"/>
        <v>0</v>
      </c>
      <c r="R239" s="1319">
        <f t="shared" si="124"/>
        <v>0</v>
      </c>
      <c r="S239" s="1319">
        <f t="shared" si="124"/>
        <v>0</v>
      </c>
      <c r="T239" s="1319">
        <f t="shared" si="124"/>
        <v>0</v>
      </c>
      <c r="U239" s="1319">
        <f t="shared" si="124"/>
        <v>0</v>
      </c>
      <c r="V239" s="1319">
        <f t="shared" si="124"/>
        <v>0</v>
      </c>
      <c r="W239" s="1319">
        <f t="shared" si="124"/>
        <v>0</v>
      </c>
      <c r="X239" s="1319">
        <f t="shared" si="124"/>
        <v>0</v>
      </c>
      <c r="Y239" s="1319">
        <f t="shared" si="124"/>
        <v>0</v>
      </c>
      <c r="Z239" s="1319">
        <f t="shared" si="124"/>
        <v>0</v>
      </c>
      <c r="AA239" s="1319">
        <f t="shared" si="124"/>
        <v>0</v>
      </c>
      <c r="AB239" s="1319">
        <f t="shared" si="124"/>
        <v>0</v>
      </c>
      <c r="AC239" s="1319">
        <f t="shared" si="124"/>
        <v>0</v>
      </c>
      <c r="AD239" s="1319">
        <f t="shared" si="124"/>
        <v>0</v>
      </c>
      <c r="AE239" s="1319">
        <f t="shared" si="124"/>
        <v>0</v>
      </c>
      <c r="AF239" s="1319">
        <f t="shared" si="124"/>
        <v>0</v>
      </c>
      <c r="AG239" s="1320">
        <f t="shared" si="124"/>
        <v>0</v>
      </c>
      <c r="AH239" s="1321">
        <f>SUM(C239:W239)</f>
        <v>0</v>
      </c>
      <c r="AI239" s="1321">
        <f>SUM(C239:AG239)</f>
        <v>0</v>
      </c>
      <c r="AJ239" s="10">
        <f t="shared" si="120"/>
        <v>0</v>
      </c>
    </row>
    <row r="240" spans="1:37" x14ac:dyDescent="0.25">
      <c r="A240" s="21"/>
      <c r="B240" s="679" t="str">
        <f>B215</f>
        <v>設備費</v>
      </c>
      <c r="C240" s="1334">
        <f>-D215/1000000</f>
        <v>-1172.7673335254301</v>
      </c>
      <c r="D240" s="1322">
        <f t="shared" ref="D240:AG240" si="125">-E215/1000000</f>
        <v>0</v>
      </c>
      <c r="E240" s="1323">
        <f t="shared" si="125"/>
        <v>0</v>
      </c>
      <c r="F240" s="1323">
        <f t="shared" si="125"/>
        <v>0</v>
      </c>
      <c r="G240" s="1323">
        <f t="shared" si="125"/>
        <v>0</v>
      </c>
      <c r="H240" s="1323">
        <f t="shared" si="125"/>
        <v>0</v>
      </c>
      <c r="I240" s="1323">
        <f t="shared" si="125"/>
        <v>0</v>
      </c>
      <c r="J240" s="1323">
        <f t="shared" si="125"/>
        <v>0</v>
      </c>
      <c r="K240" s="1323">
        <f t="shared" si="125"/>
        <v>0</v>
      </c>
      <c r="L240" s="1323">
        <f t="shared" si="125"/>
        <v>0</v>
      </c>
      <c r="M240" s="1323">
        <f t="shared" si="125"/>
        <v>0</v>
      </c>
      <c r="N240" s="1323">
        <f t="shared" si="125"/>
        <v>0</v>
      </c>
      <c r="O240" s="1323">
        <f t="shared" si="125"/>
        <v>0</v>
      </c>
      <c r="P240" s="1323">
        <f t="shared" si="125"/>
        <v>0</v>
      </c>
      <c r="Q240" s="1323">
        <f t="shared" si="125"/>
        <v>0</v>
      </c>
      <c r="R240" s="1323">
        <f t="shared" si="125"/>
        <v>0</v>
      </c>
      <c r="S240" s="1323">
        <f t="shared" si="125"/>
        <v>0</v>
      </c>
      <c r="T240" s="1323">
        <f t="shared" si="125"/>
        <v>0</v>
      </c>
      <c r="U240" s="1323">
        <f t="shared" si="125"/>
        <v>0</v>
      </c>
      <c r="V240" s="1323">
        <f t="shared" si="125"/>
        <v>0</v>
      </c>
      <c r="W240" s="1323">
        <f t="shared" si="125"/>
        <v>0</v>
      </c>
      <c r="X240" s="1323">
        <f t="shared" si="125"/>
        <v>0</v>
      </c>
      <c r="Y240" s="1323">
        <f t="shared" si="125"/>
        <v>0</v>
      </c>
      <c r="Z240" s="1323">
        <f t="shared" si="125"/>
        <v>0</v>
      </c>
      <c r="AA240" s="1323">
        <f t="shared" si="125"/>
        <v>0</v>
      </c>
      <c r="AB240" s="1323">
        <f t="shared" si="125"/>
        <v>0</v>
      </c>
      <c r="AC240" s="1323">
        <f t="shared" si="125"/>
        <v>0</v>
      </c>
      <c r="AD240" s="1323">
        <f t="shared" si="125"/>
        <v>0</v>
      </c>
      <c r="AE240" s="1323">
        <f t="shared" si="125"/>
        <v>0</v>
      </c>
      <c r="AF240" s="1323">
        <f t="shared" si="125"/>
        <v>0</v>
      </c>
      <c r="AG240" s="1324">
        <f t="shared" si="125"/>
        <v>0</v>
      </c>
      <c r="AH240" s="1325">
        <f t="shared" si="118"/>
        <v>-1172.7673335254301</v>
      </c>
      <c r="AI240" s="1325">
        <f t="shared" si="119"/>
        <v>-1172.7673335254301</v>
      </c>
      <c r="AJ240" s="10">
        <f t="shared" si="120"/>
        <v>-58.638366676271502</v>
      </c>
    </row>
    <row r="241" spans="1:36" x14ac:dyDescent="0.25">
      <c r="A241" s="21"/>
      <c r="B241" s="681" t="str">
        <f>B216</f>
        <v>工事費</v>
      </c>
      <c r="C241" s="1334">
        <f>-D216/1000000</f>
        <v>-390.9224445084767</v>
      </c>
      <c r="D241" s="1322">
        <f t="shared" ref="D241:AG241" si="126">-E216/1000000</f>
        <v>0</v>
      </c>
      <c r="E241" s="1323">
        <f t="shared" si="126"/>
        <v>0</v>
      </c>
      <c r="F241" s="1323">
        <f t="shared" si="126"/>
        <v>0</v>
      </c>
      <c r="G241" s="1323">
        <f t="shared" si="126"/>
        <v>0</v>
      </c>
      <c r="H241" s="1323">
        <f t="shared" si="126"/>
        <v>0</v>
      </c>
      <c r="I241" s="1323">
        <f t="shared" si="126"/>
        <v>0</v>
      </c>
      <c r="J241" s="1323">
        <f t="shared" si="126"/>
        <v>0</v>
      </c>
      <c r="K241" s="1323">
        <f t="shared" si="126"/>
        <v>0</v>
      </c>
      <c r="L241" s="1323">
        <f t="shared" si="126"/>
        <v>0</v>
      </c>
      <c r="M241" s="1323">
        <f t="shared" si="126"/>
        <v>0</v>
      </c>
      <c r="N241" s="1323">
        <f t="shared" si="126"/>
        <v>0</v>
      </c>
      <c r="O241" s="1323">
        <f t="shared" si="126"/>
        <v>0</v>
      </c>
      <c r="P241" s="1323">
        <f t="shared" si="126"/>
        <v>0</v>
      </c>
      <c r="Q241" s="1323">
        <f t="shared" si="126"/>
        <v>0</v>
      </c>
      <c r="R241" s="1323">
        <f t="shared" si="126"/>
        <v>0</v>
      </c>
      <c r="S241" s="1323">
        <f t="shared" si="126"/>
        <v>0</v>
      </c>
      <c r="T241" s="1323">
        <f t="shared" si="126"/>
        <v>0</v>
      </c>
      <c r="U241" s="1323">
        <f t="shared" si="126"/>
        <v>0</v>
      </c>
      <c r="V241" s="1323">
        <f t="shared" si="126"/>
        <v>0</v>
      </c>
      <c r="W241" s="1323">
        <f t="shared" si="126"/>
        <v>0</v>
      </c>
      <c r="X241" s="1323">
        <f t="shared" si="126"/>
        <v>0</v>
      </c>
      <c r="Y241" s="1323">
        <f t="shared" si="126"/>
        <v>0</v>
      </c>
      <c r="Z241" s="1323">
        <f t="shared" si="126"/>
        <v>0</v>
      </c>
      <c r="AA241" s="1323">
        <f t="shared" si="126"/>
        <v>0</v>
      </c>
      <c r="AB241" s="1323">
        <f t="shared" si="126"/>
        <v>0</v>
      </c>
      <c r="AC241" s="1323">
        <f t="shared" si="126"/>
        <v>0</v>
      </c>
      <c r="AD241" s="1323">
        <f t="shared" si="126"/>
        <v>0</v>
      </c>
      <c r="AE241" s="1323">
        <f t="shared" si="126"/>
        <v>0</v>
      </c>
      <c r="AF241" s="1323">
        <f t="shared" si="126"/>
        <v>0</v>
      </c>
      <c r="AG241" s="1324">
        <f t="shared" si="126"/>
        <v>0</v>
      </c>
      <c r="AH241" s="1325">
        <f t="shared" si="118"/>
        <v>-390.9224445084767</v>
      </c>
      <c r="AI241" s="1325">
        <f t="shared" si="119"/>
        <v>-390.9224445084767</v>
      </c>
      <c r="AJ241" s="10">
        <f t="shared" si="120"/>
        <v>-19.546122225423836</v>
      </c>
    </row>
    <row r="242" spans="1:36" x14ac:dyDescent="0.25">
      <c r="A242" s="21"/>
      <c r="B242" s="681" t="str">
        <f>B217</f>
        <v>薬剤・消耗品費用</v>
      </c>
      <c r="C242" s="1334">
        <f>-D217/1000000</f>
        <v>0</v>
      </c>
      <c r="D242" s="1322">
        <f t="shared" ref="D242:AG242" si="127">-E217/1000000</f>
        <v>-57.525830544324236</v>
      </c>
      <c r="E242" s="1323">
        <f t="shared" si="127"/>
        <v>-57.525830544324236</v>
      </c>
      <c r="F242" s="1323">
        <f t="shared" si="127"/>
        <v>-57.525830544324236</v>
      </c>
      <c r="G242" s="1323">
        <f t="shared" si="127"/>
        <v>-57.525830544324236</v>
      </c>
      <c r="H242" s="1323">
        <f t="shared" si="127"/>
        <v>-57.525830544324236</v>
      </c>
      <c r="I242" s="1323">
        <f t="shared" si="127"/>
        <v>-57.525830544324236</v>
      </c>
      <c r="J242" s="1323">
        <f t="shared" si="127"/>
        <v>-57.525830544324236</v>
      </c>
      <c r="K242" s="1323">
        <f t="shared" si="127"/>
        <v>-57.525830544324236</v>
      </c>
      <c r="L242" s="1323">
        <f t="shared" si="127"/>
        <v>-57.525830544324236</v>
      </c>
      <c r="M242" s="1323">
        <f t="shared" si="127"/>
        <v>-57.525830544324236</v>
      </c>
      <c r="N242" s="1323">
        <f t="shared" si="127"/>
        <v>-57.525830544324236</v>
      </c>
      <c r="O242" s="1323">
        <f t="shared" si="127"/>
        <v>-57.525830544324236</v>
      </c>
      <c r="P242" s="1323">
        <f t="shared" si="127"/>
        <v>-57.525830544324236</v>
      </c>
      <c r="Q242" s="1323">
        <f t="shared" si="127"/>
        <v>-57.525830544324236</v>
      </c>
      <c r="R242" s="1323">
        <f t="shared" si="127"/>
        <v>-57.525830544324236</v>
      </c>
      <c r="S242" s="1323">
        <f t="shared" si="127"/>
        <v>-57.525830544324236</v>
      </c>
      <c r="T242" s="1323">
        <f t="shared" si="127"/>
        <v>-57.525830544324236</v>
      </c>
      <c r="U242" s="1323">
        <f t="shared" si="127"/>
        <v>-57.525830544324236</v>
      </c>
      <c r="V242" s="1323">
        <f t="shared" si="127"/>
        <v>-57.525830544324236</v>
      </c>
      <c r="W242" s="1323">
        <f t="shared" si="127"/>
        <v>-57.525830544324236</v>
      </c>
      <c r="X242" s="1323">
        <f t="shared" si="127"/>
        <v>-57.525830544324236</v>
      </c>
      <c r="Y242" s="1323">
        <f t="shared" si="127"/>
        <v>-57.525830544324236</v>
      </c>
      <c r="Z242" s="1323">
        <f t="shared" si="127"/>
        <v>-57.525830544324236</v>
      </c>
      <c r="AA242" s="1323">
        <f t="shared" si="127"/>
        <v>-57.525830544324236</v>
      </c>
      <c r="AB242" s="1323">
        <f t="shared" si="127"/>
        <v>-57.525830544324236</v>
      </c>
      <c r="AC242" s="1323">
        <f t="shared" si="127"/>
        <v>-57.525830544324236</v>
      </c>
      <c r="AD242" s="1323">
        <f t="shared" si="127"/>
        <v>-57.525830544324236</v>
      </c>
      <c r="AE242" s="1323">
        <f t="shared" si="127"/>
        <v>-57.525830544324236</v>
      </c>
      <c r="AF242" s="1323">
        <f t="shared" si="127"/>
        <v>-57.525830544324236</v>
      </c>
      <c r="AG242" s="1324">
        <f t="shared" si="127"/>
        <v>-57.525830544324236</v>
      </c>
      <c r="AH242" s="1325">
        <f t="shared" si="118"/>
        <v>-1150.5166108864844</v>
      </c>
      <c r="AI242" s="1325">
        <f t="shared" si="119"/>
        <v>-1725.7749163297265</v>
      </c>
      <c r="AJ242" s="10">
        <f t="shared" si="120"/>
        <v>-57.525830544324222</v>
      </c>
    </row>
    <row r="243" spans="1:36" x14ac:dyDescent="0.25">
      <c r="A243" s="21"/>
      <c r="B243" s="681" t="str">
        <f>B218</f>
        <v>ユーティリティー費用</v>
      </c>
      <c r="C243" s="1334">
        <f>-D218/1000000</f>
        <v>0</v>
      </c>
      <c r="D243" s="1322">
        <f>-E218/1000000</f>
        <v>-24.653927376138959</v>
      </c>
      <c r="E243" s="1323">
        <f t="shared" ref="E243:AG243" si="128">-F218/1000000</f>
        <v>-24.653927376138959</v>
      </c>
      <c r="F243" s="1323">
        <f t="shared" si="128"/>
        <v>-24.653927376138959</v>
      </c>
      <c r="G243" s="1323">
        <f t="shared" si="128"/>
        <v>-24.653927376138959</v>
      </c>
      <c r="H243" s="1323">
        <f t="shared" si="128"/>
        <v>-24.653927376138959</v>
      </c>
      <c r="I243" s="1323">
        <f t="shared" si="128"/>
        <v>-24.653927376138959</v>
      </c>
      <c r="J243" s="1323">
        <f t="shared" si="128"/>
        <v>-24.653927376138959</v>
      </c>
      <c r="K243" s="1323">
        <f t="shared" si="128"/>
        <v>-24.653927376138959</v>
      </c>
      <c r="L243" s="1323">
        <f t="shared" si="128"/>
        <v>-24.653927376138959</v>
      </c>
      <c r="M243" s="1323">
        <f t="shared" si="128"/>
        <v>-24.653927376138959</v>
      </c>
      <c r="N243" s="1323">
        <f t="shared" si="128"/>
        <v>-24.653927376138959</v>
      </c>
      <c r="O243" s="1323">
        <f t="shared" si="128"/>
        <v>-24.653927376138959</v>
      </c>
      <c r="P243" s="1323">
        <f t="shared" si="128"/>
        <v>-24.653927376138959</v>
      </c>
      <c r="Q243" s="1323">
        <f t="shared" si="128"/>
        <v>-24.653927376138959</v>
      </c>
      <c r="R243" s="1323">
        <f t="shared" si="128"/>
        <v>-24.653927376138959</v>
      </c>
      <c r="S243" s="1323">
        <f t="shared" si="128"/>
        <v>-24.653927376138959</v>
      </c>
      <c r="T243" s="1323">
        <f t="shared" si="128"/>
        <v>-24.653927376138959</v>
      </c>
      <c r="U243" s="1323">
        <f t="shared" si="128"/>
        <v>-24.653927376138959</v>
      </c>
      <c r="V243" s="1323">
        <f t="shared" si="128"/>
        <v>-24.653927376138959</v>
      </c>
      <c r="W243" s="1323">
        <f t="shared" si="128"/>
        <v>-24.653927376138959</v>
      </c>
      <c r="X243" s="1323">
        <f t="shared" si="128"/>
        <v>-24.653927376138959</v>
      </c>
      <c r="Y243" s="1323">
        <f t="shared" si="128"/>
        <v>-24.653927376138959</v>
      </c>
      <c r="Z243" s="1323">
        <f t="shared" si="128"/>
        <v>-24.653927376138959</v>
      </c>
      <c r="AA243" s="1323">
        <f t="shared" si="128"/>
        <v>-24.653927376138959</v>
      </c>
      <c r="AB243" s="1323">
        <f t="shared" si="128"/>
        <v>-24.653927376138959</v>
      </c>
      <c r="AC243" s="1323">
        <f t="shared" si="128"/>
        <v>-24.653927376138959</v>
      </c>
      <c r="AD243" s="1323">
        <f t="shared" si="128"/>
        <v>-24.653927376138959</v>
      </c>
      <c r="AE243" s="1323">
        <f t="shared" si="128"/>
        <v>-24.653927376138959</v>
      </c>
      <c r="AF243" s="1323">
        <f t="shared" si="128"/>
        <v>-24.653927376138959</v>
      </c>
      <c r="AG243" s="1324">
        <f t="shared" si="128"/>
        <v>-24.653927376138959</v>
      </c>
      <c r="AH243" s="1325">
        <f>SUM(C243:W243)</f>
        <v>-493.07854752277905</v>
      </c>
      <c r="AI243" s="1325">
        <f t="shared" si="119"/>
        <v>-739.61782128416894</v>
      </c>
      <c r="AJ243" s="10">
        <f t="shared" si="120"/>
        <v>-24.653927376138952</v>
      </c>
    </row>
    <row r="244" spans="1:36" x14ac:dyDescent="0.25">
      <c r="A244" s="21"/>
      <c r="B244" s="679" t="str">
        <f>B223</f>
        <v>メンテナンス費</v>
      </c>
      <c r="C244" s="1334">
        <f>-D223/1000000</f>
        <v>0</v>
      </c>
      <c r="D244" s="1322">
        <f>-E223/1000000</f>
        <v>-41.089878960231601</v>
      </c>
      <c r="E244" s="1323">
        <f t="shared" ref="E244:AG244" si="129">-F223/1000000</f>
        <v>-41.089878960231601</v>
      </c>
      <c r="F244" s="1323">
        <f t="shared" si="129"/>
        <v>-41.089878960231601</v>
      </c>
      <c r="G244" s="1323">
        <f t="shared" si="129"/>
        <v>-41.089878960231601</v>
      </c>
      <c r="H244" s="1323">
        <f t="shared" si="129"/>
        <v>-41.089878960231601</v>
      </c>
      <c r="I244" s="1323">
        <f t="shared" si="129"/>
        <v>-41.089878960231601</v>
      </c>
      <c r="J244" s="1323">
        <f t="shared" si="129"/>
        <v>-41.089878960231601</v>
      </c>
      <c r="K244" s="1323">
        <f t="shared" si="129"/>
        <v>-41.089878960231601</v>
      </c>
      <c r="L244" s="1323">
        <f t="shared" si="129"/>
        <v>-41.089878960231601</v>
      </c>
      <c r="M244" s="1323">
        <f t="shared" si="129"/>
        <v>-41.089878960231601</v>
      </c>
      <c r="N244" s="1323">
        <f t="shared" si="129"/>
        <v>-41.089878960231601</v>
      </c>
      <c r="O244" s="1323">
        <f t="shared" si="129"/>
        <v>-41.089878960231601</v>
      </c>
      <c r="P244" s="1323">
        <f t="shared" si="129"/>
        <v>-41.089878960231601</v>
      </c>
      <c r="Q244" s="1323">
        <f t="shared" si="129"/>
        <v>-41.089878960231601</v>
      </c>
      <c r="R244" s="1323">
        <f t="shared" si="129"/>
        <v>-41.089878960231601</v>
      </c>
      <c r="S244" s="1323">
        <f t="shared" si="129"/>
        <v>-41.089878960231601</v>
      </c>
      <c r="T244" s="1323">
        <f t="shared" si="129"/>
        <v>-41.089878960231601</v>
      </c>
      <c r="U244" s="1323">
        <f t="shared" si="129"/>
        <v>-41.089878960231601</v>
      </c>
      <c r="V244" s="1323">
        <f t="shared" si="129"/>
        <v>-41.089878960231601</v>
      </c>
      <c r="W244" s="1323">
        <f t="shared" si="129"/>
        <v>-41.089878960231601</v>
      </c>
      <c r="X244" s="1323">
        <f t="shared" si="129"/>
        <v>-41.089878960231601</v>
      </c>
      <c r="Y244" s="1323">
        <f t="shared" si="129"/>
        <v>-41.089878960231601</v>
      </c>
      <c r="Z244" s="1323">
        <f t="shared" si="129"/>
        <v>-41.089878960231601</v>
      </c>
      <c r="AA244" s="1323">
        <f t="shared" si="129"/>
        <v>-41.089878960231601</v>
      </c>
      <c r="AB244" s="1323">
        <f t="shared" si="129"/>
        <v>-41.089878960231601</v>
      </c>
      <c r="AC244" s="1323">
        <f t="shared" si="129"/>
        <v>-41.089878960231601</v>
      </c>
      <c r="AD244" s="1323">
        <f t="shared" si="129"/>
        <v>-41.089878960231601</v>
      </c>
      <c r="AE244" s="1323">
        <f t="shared" si="129"/>
        <v>-41.089878960231601</v>
      </c>
      <c r="AF244" s="1323">
        <f t="shared" si="129"/>
        <v>-41.089878960231601</v>
      </c>
      <c r="AG244" s="1323">
        <f t="shared" si="129"/>
        <v>-41.089878960231601</v>
      </c>
      <c r="AH244" s="1325">
        <f t="shared" si="118"/>
        <v>-821.79757920463157</v>
      </c>
      <c r="AI244" s="1325">
        <f t="shared" si="119"/>
        <v>-1232.696368806947</v>
      </c>
      <c r="AJ244" s="10">
        <f t="shared" si="120"/>
        <v>-41.08987896023158</v>
      </c>
    </row>
    <row r="245" spans="1:36" x14ac:dyDescent="0.25">
      <c r="A245" s="21"/>
      <c r="B245" s="679" t="str">
        <f>B224</f>
        <v>人件費</v>
      </c>
      <c r="C245" s="1334">
        <f>-D224/1000000</f>
        <v>0</v>
      </c>
      <c r="D245" s="1322">
        <f t="shared" ref="D245:D246" si="130">-E224/1000000</f>
        <v>-24.653927376138959</v>
      </c>
      <c r="E245" s="1323">
        <f t="shared" ref="E245:AG245" si="131">-F224/1000000</f>
        <v>-24.653927376138959</v>
      </c>
      <c r="F245" s="1323">
        <f t="shared" si="131"/>
        <v>-24.653927376138959</v>
      </c>
      <c r="G245" s="1323">
        <f t="shared" si="131"/>
        <v>-24.653927376138959</v>
      </c>
      <c r="H245" s="1323">
        <f t="shared" si="131"/>
        <v>-24.653927376138959</v>
      </c>
      <c r="I245" s="1323">
        <f t="shared" si="131"/>
        <v>-24.653927376138959</v>
      </c>
      <c r="J245" s="1323">
        <f t="shared" si="131"/>
        <v>-24.653927376138959</v>
      </c>
      <c r="K245" s="1323">
        <f t="shared" si="131"/>
        <v>-24.653927376138959</v>
      </c>
      <c r="L245" s="1323">
        <f t="shared" si="131"/>
        <v>-24.653927376138959</v>
      </c>
      <c r="M245" s="1323">
        <f t="shared" si="131"/>
        <v>-24.653927376138959</v>
      </c>
      <c r="N245" s="1323">
        <f t="shared" si="131"/>
        <v>-24.653927376138959</v>
      </c>
      <c r="O245" s="1323">
        <f t="shared" si="131"/>
        <v>-24.653927376138959</v>
      </c>
      <c r="P245" s="1323">
        <f t="shared" si="131"/>
        <v>-24.653927376138959</v>
      </c>
      <c r="Q245" s="1323">
        <f t="shared" si="131"/>
        <v>-24.653927376138959</v>
      </c>
      <c r="R245" s="1323">
        <f t="shared" si="131"/>
        <v>-24.653927376138959</v>
      </c>
      <c r="S245" s="1323">
        <f t="shared" si="131"/>
        <v>-24.653927376138959</v>
      </c>
      <c r="T245" s="1323">
        <f t="shared" si="131"/>
        <v>-24.653927376138959</v>
      </c>
      <c r="U245" s="1323">
        <f t="shared" si="131"/>
        <v>-24.653927376138959</v>
      </c>
      <c r="V245" s="1323">
        <f t="shared" si="131"/>
        <v>-24.653927376138959</v>
      </c>
      <c r="W245" s="1323">
        <f t="shared" si="131"/>
        <v>-24.653927376138959</v>
      </c>
      <c r="X245" s="1323">
        <f t="shared" si="131"/>
        <v>-24.653927376138959</v>
      </c>
      <c r="Y245" s="1323">
        <f t="shared" si="131"/>
        <v>-24.653927376138959</v>
      </c>
      <c r="Z245" s="1323">
        <f t="shared" si="131"/>
        <v>-24.653927376138959</v>
      </c>
      <c r="AA245" s="1323">
        <f t="shared" si="131"/>
        <v>-24.653927376138959</v>
      </c>
      <c r="AB245" s="1323">
        <f t="shared" si="131"/>
        <v>-24.653927376138959</v>
      </c>
      <c r="AC245" s="1323">
        <f t="shared" si="131"/>
        <v>-24.653927376138959</v>
      </c>
      <c r="AD245" s="1323">
        <f t="shared" si="131"/>
        <v>-24.653927376138959</v>
      </c>
      <c r="AE245" s="1323">
        <f t="shared" si="131"/>
        <v>-24.653927376138959</v>
      </c>
      <c r="AF245" s="1323">
        <f t="shared" si="131"/>
        <v>-24.653927376138959</v>
      </c>
      <c r="AG245" s="1323">
        <f t="shared" si="131"/>
        <v>-24.653927376138959</v>
      </c>
      <c r="AH245" s="1326">
        <f t="shared" si="118"/>
        <v>-493.07854752277905</v>
      </c>
      <c r="AI245" s="1326">
        <f t="shared" si="119"/>
        <v>-739.61782128416894</v>
      </c>
      <c r="AJ245" s="10">
        <f t="shared" si="120"/>
        <v>-24.653927376138952</v>
      </c>
    </row>
    <row r="246" spans="1:36" x14ac:dyDescent="0.25">
      <c r="A246" s="21"/>
      <c r="B246" s="679" t="str">
        <f>B225</f>
        <v>一般管理費</v>
      </c>
      <c r="C246" s="1334">
        <f>-D225/1000000</f>
        <v>0</v>
      </c>
      <c r="D246" s="1322">
        <f t="shared" si="130"/>
        <v>-16.435951584092642</v>
      </c>
      <c r="E246" s="1323">
        <f t="shared" ref="E246:AG246" si="132">-F225/1000000</f>
        <v>-16.435951584092642</v>
      </c>
      <c r="F246" s="1323">
        <f t="shared" si="132"/>
        <v>-16.435951584092642</v>
      </c>
      <c r="G246" s="1323">
        <f t="shared" si="132"/>
        <v>-16.435951584092642</v>
      </c>
      <c r="H246" s="1323">
        <f t="shared" si="132"/>
        <v>-16.435951584092642</v>
      </c>
      <c r="I246" s="1323">
        <f t="shared" si="132"/>
        <v>-16.435951584092642</v>
      </c>
      <c r="J246" s="1323">
        <f t="shared" si="132"/>
        <v>-16.435951584092642</v>
      </c>
      <c r="K246" s="1323">
        <f t="shared" si="132"/>
        <v>-16.435951584092642</v>
      </c>
      <c r="L246" s="1323">
        <f t="shared" si="132"/>
        <v>-16.435951584092642</v>
      </c>
      <c r="M246" s="1323">
        <f t="shared" si="132"/>
        <v>-16.435951584092642</v>
      </c>
      <c r="N246" s="1323">
        <f t="shared" si="132"/>
        <v>-16.435951584092642</v>
      </c>
      <c r="O246" s="1323">
        <f t="shared" si="132"/>
        <v>-16.435951584092642</v>
      </c>
      <c r="P246" s="1323">
        <f t="shared" si="132"/>
        <v>-16.435951584092642</v>
      </c>
      <c r="Q246" s="1323">
        <f t="shared" si="132"/>
        <v>-16.435951584092642</v>
      </c>
      <c r="R246" s="1323">
        <f t="shared" si="132"/>
        <v>-16.435951584092642</v>
      </c>
      <c r="S246" s="1323">
        <f t="shared" si="132"/>
        <v>-16.435951584092642</v>
      </c>
      <c r="T246" s="1323">
        <f t="shared" si="132"/>
        <v>-16.435951584092642</v>
      </c>
      <c r="U246" s="1323">
        <f t="shared" si="132"/>
        <v>-16.435951584092642</v>
      </c>
      <c r="V246" s="1323">
        <f t="shared" si="132"/>
        <v>-16.435951584092642</v>
      </c>
      <c r="W246" s="1323">
        <f t="shared" si="132"/>
        <v>-16.435951584092642</v>
      </c>
      <c r="X246" s="1323">
        <f t="shared" si="132"/>
        <v>-16.435951584092642</v>
      </c>
      <c r="Y246" s="1323">
        <f t="shared" si="132"/>
        <v>-16.435951584092642</v>
      </c>
      <c r="Z246" s="1323">
        <f t="shared" si="132"/>
        <v>-16.435951584092642</v>
      </c>
      <c r="AA246" s="1323">
        <f t="shared" si="132"/>
        <v>-16.435951584092642</v>
      </c>
      <c r="AB246" s="1323">
        <f t="shared" si="132"/>
        <v>-16.435951584092642</v>
      </c>
      <c r="AC246" s="1323">
        <f t="shared" si="132"/>
        <v>-16.435951584092642</v>
      </c>
      <c r="AD246" s="1323">
        <f t="shared" si="132"/>
        <v>-16.435951584092642</v>
      </c>
      <c r="AE246" s="1323">
        <f t="shared" si="132"/>
        <v>-16.435951584092642</v>
      </c>
      <c r="AF246" s="1323">
        <f t="shared" si="132"/>
        <v>-16.435951584092642</v>
      </c>
      <c r="AG246" s="1323">
        <f t="shared" si="132"/>
        <v>-16.435951584092642</v>
      </c>
      <c r="AH246" s="1325">
        <f t="shared" si="118"/>
        <v>-328.71903168185287</v>
      </c>
      <c r="AI246" s="1325">
        <f t="shared" si="119"/>
        <v>-493.0785475227795</v>
      </c>
      <c r="AJ246" s="10">
        <f t="shared" si="120"/>
        <v>-16.435951584092642</v>
      </c>
    </row>
    <row r="247" spans="1:36" x14ac:dyDescent="0.25">
      <c r="A247" s="21"/>
      <c r="B247" s="679" t="s">
        <v>1147</v>
      </c>
      <c r="C247" s="1334">
        <f>-D228/1000000</f>
        <v>0</v>
      </c>
      <c r="D247" s="1322">
        <f t="shared" ref="D247:AG247" si="133">-E228/1000000</f>
        <v>-32.922425115324394</v>
      </c>
      <c r="E247" s="1323">
        <f t="shared" si="133"/>
        <v>-31.833818212197539</v>
      </c>
      <c r="F247" s="1323">
        <f t="shared" si="133"/>
        <v>-30.74521130907068</v>
      </c>
      <c r="G247" s="1323">
        <f t="shared" si="133"/>
        <v>-29.656604405943821</v>
      </c>
      <c r="H247" s="1323">
        <f t="shared" si="133"/>
        <v>-28.567997502816965</v>
      </c>
      <c r="I247" s="1323">
        <f t="shared" si="133"/>
        <v>-27.479390599690106</v>
      </c>
      <c r="J247" s="1323">
        <f t="shared" si="133"/>
        <v>-26.390783696563247</v>
      </c>
      <c r="K247" s="1323">
        <f t="shared" si="133"/>
        <v>-25.302176793436388</v>
      </c>
      <c r="L247" s="1323">
        <f t="shared" si="133"/>
        <v>-24.213569890309536</v>
      </c>
      <c r="M247" s="1323">
        <f t="shared" si="133"/>
        <v>-23.124962987182677</v>
      </c>
      <c r="N247" s="1323">
        <f t="shared" si="133"/>
        <v>-22.036356084055818</v>
      </c>
      <c r="O247" s="1323">
        <f t="shared" si="133"/>
        <v>-20.947749180928959</v>
      </c>
      <c r="P247" s="1323">
        <f t="shared" si="133"/>
        <v>-19.859142277802103</v>
      </c>
      <c r="Q247" s="1323">
        <f t="shared" si="133"/>
        <v>-18.770535374675244</v>
      </c>
      <c r="R247" s="1323">
        <f t="shared" si="133"/>
        <v>-17.681928471548385</v>
      </c>
      <c r="S247" s="1323">
        <f t="shared" si="133"/>
        <v>-40.048668238930127</v>
      </c>
      <c r="T247" s="1323">
        <f t="shared" si="133"/>
        <v>-40.054644180427005</v>
      </c>
      <c r="U247" s="1323">
        <f t="shared" si="133"/>
        <v>-40.060620121923876</v>
      </c>
      <c r="V247" s="1323">
        <f t="shared" si="133"/>
        <v>-40.066596063420761</v>
      </c>
      <c r="W247" s="1323">
        <f t="shared" si="133"/>
        <v>-40.072572004917639</v>
      </c>
      <c r="X247" s="1323">
        <f t="shared" si="133"/>
        <v>-40.078547946414517</v>
      </c>
      <c r="Y247" s="1323">
        <f t="shared" si="133"/>
        <v>-39.934523887911396</v>
      </c>
      <c r="Z247" s="1323">
        <f t="shared" si="133"/>
        <v>-39.790499829408269</v>
      </c>
      <c r="AA247" s="1323">
        <f t="shared" si="133"/>
        <v>-39.646475770905141</v>
      </c>
      <c r="AB247" s="1323">
        <f t="shared" si="133"/>
        <v>-39.502451712402021</v>
      </c>
      <c r="AC247" s="1323">
        <f t="shared" si="133"/>
        <v>-39.358427653898893</v>
      </c>
      <c r="AD247" s="1323">
        <f t="shared" si="133"/>
        <v>-39.214403595395773</v>
      </c>
      <c r="AE247" s="1323">
        <f t="shared" si="133"/>
        <v>-39.070379536892652</v>
      </c>
      <c r="AF247" s="1323">
        <f t="shared" si="133"/>
        <v>-38.926355478389532</v>
      </c>
      <c r="AG247" s="1324">
        <f t="shared" si="133"/>
        <v>-38.782331419886411</v>
      </c>
      <c r="AH247" s="1325">
        <f t="shared" ref="AH247" si="134">SUM(C247:W247)</f>
        <v>-579.83575251116531</v>
      </c>
      <c r="AI247" s="1325">
        <f t="shared" ref="AI247" si="135">SUM(C247:AG247)</f>
        <v>-974.14014934266993</v>
      </c>
      <c r="AJ247" s="10">
        <f t="shared" si="120"/>
        <v>-28.991787625558267</v>
      </c>
    </row>
    <row r="248" spans="1:36" x14ac:dyDescent="0.25">
      <c r="A248" s="21"/>
      <c r="B248" s="679" t="str">
        <f>B229</f>
        <v>金利</v>
      </c>
      <c r="C248" s="1334">
        <f>-D229/1000000</f>
        <v>0</v>
      </c>
      <c r="D248" s="1322">
        <f t="shared" ref="D248:AG248" si="136">-E229/1000000</f>
        <v>-10</v>
      </c>
      <c r="E248" s="1327">
        <f t="shared" si="136"/>
        <v>-9.5</v>
      </c>
      <c r="F248" s="1327">
        <f t="shared" si="136"/>
        <v>-9</v>
      </c>
      <c r="G248" s="1327">
        <f t="shared" si="136"/>
        <v>-8.5</v>
      </c>
      <c r="H248" s="1327">
        <f t="shared" si="136"/>
        <v>-8</v>
      </c>
      <c r="I248" s="1327">
        <f t="shared" si="136"/>
        <v>-7.5</v>
      </c>
      <c r="J248" s="1327">
        <f t="shared" si="136"/>
        <v>-7</v>
      </c>
      <c r="K248" s="1327">
        <f t="shared" si="136"/>
        <v>-6.5</v>
      </c>
      <c r="L248" s="1327">
        <f t="shared" si="136"/>
        <v>-6</v>
      </c>
      <c r="M248" s="1327">
        <f t="shared" si="136"/>
        <v>-5.5</v>
      </c>
      <c r="N248" s="1327">
        <f t="shared" si="136"/>
        <v>-5</v>
      </c>
      <c r="O248" s="1327">
        <f t="shared" si="136"/>
        <v>-4.5</v>
      </c>
      <c r="P248" s="1327">
        <f t="shared" si="136"/>
        <v>-4</v>
      </c>
      <c r="Q248" s="1327">
        <f t="shared" si="136"/>
        <v>-3.5</v>
      </c>
      <c r="R248" s="1327">
        <f t="shared" si="136"/>
        <v>-3</v>
      </c>
      <c r="S248" s="1327">
        <f t="shared" si="136"/>
        <v>-2.5</v>
      </c>
      <c r="T248" s="1327">
        <f t="shared" si="136"/>
        <v>-2</v>
      </c>
      <c r="U248" s="1327">
        <f t="shared" si="136"/>
        <v>-1.5</v>
      </c>
      <c r="V248" s="1327">
        <f t="shared" si="136"/>
        <v>-1</v>
      </c>
      <c r="W248" s="1327">
        <f t="shared" si="136"/>
        <v>-0.5</v>
      </c>
      <c r="X248" s="1327">
        <f t="shared" si="136"/>
        <v>0</v>
      </c>
      <c r="Y248" s="1327">
        <f t="shared" si="136"/>
        <v>0</v>
      </c>
      <c r="Z248" s="1327">
        <f t="shared" si="136"/>
        <v>0</v>
      </c>
      <c r="AA248" s="1327">
        <f t="shared" si="136"/>
        <v>0</v>
      </c>
      <c r="AB248" s="1327">
        <f t="shared" si="136"/>
        <v>0</v>
      </c>
      <c r="AC248" s="1327">
        <f t="shared" si="136"/>
        <v>0</v>
      </c>
      <c r="AD248" s="1327">
        <f t="shared" si="136"/>
        <v>0</v>
      </c>
      <c r="AE248" s="1327">
        <f t="shared" si="136"/>
        <v>0</v>
      </c>
      <c r="AF248" s="1327">
        <f t="shared" si="136"/>
        <v>0</v>
      </c>
      <c r="AG248" s="1328">
        <f t="shared" si="136"/>
        <v>0</v>
      </c>
      <c r="AH248" s="1326">
        <f t="shared" si="118"/>
        <v>-105</v>
      </c>
      <c r="AI248" s="1326">
        <f t="shared" si="119"/>
        <v>-105</v>
      </c>
      <c r="AJ248" s="10">
        <f t="shared" si="120"/>
        <v>-5.25</v>
      </c>
    </row>
    <row r="249" spans="1:36" x14ac:dyDescent="0.25">
      <c r="A249" s="21"/>
      <c r="B249" s="658" t="s">
        <v>449</v>
      </c>
      <c r="C249" s="676">
        <f t="shared" ref="C249:AG249" si="137">SUM(C236:C248)</f>
        <v>-1563.6897780339068</v>
      </c>
      <c r="D249" s="657">
        <f t="shared" si="137"/>
        <v>92.318723946092945</v>
      </c>
      <c r="E249" s="655">
        <f t="shared" si="137"/>
        <v>93.90733084921979</v>
      </c>
      <c r="F249" s="655">
        <f t="shared" si="137"/>
        <v>95.495937752346649</v>
      </c>
      <c r="G249" s="655">
        <f t="shared" si="137"/>
        <v>97.084544655473508</v>
      </c>
      <c r="H249" s="655">
        <f t="shared" si="137"/>
        <v>98.673151558600367</v>
      </c>
      <c r="I249" s="655">
        <f t="shared" si="137"/>
        <v>100.26175846172723</v>
      </c>
      <c r="J249" s="655">
        <f t="shared" si="137"/>
        <v>101.85036536485408</v>
      </c>
      <c r="K249" s="655">
        <f t="shared" si="137"/>
        <v>103.43897226798094</v>
      </c>
      <c r="L249" s="655">
        <f t="shared" si="137"/>
        <v>105.02757917110779</v>
      </c>
      <c r="M249" s="655">
        <f t="shared" si="137"/>
        <v>106.61618607423466</v>
      </c>
      <c r="N249" s="655">
        <f t="shared" si="137"/>
        <v>108.20479297736151</v>
      </c>
      <c r="O249" s="655">
        <f t="shared" si="137"/>
        <v>109.79339988048838</v>
      </c>
      <c r="P249" s="655">
        <f t="shared" si="137"/>
        <v>111.38200678361522</v>
      </c>
      <c r="Q249" s="655">
        <f t="shared" si="137"/>
        <v>112.97061368674208</v>
      </c>
      <c r="R249" s="655">
        <f t="shared" si="137"/>
        <v>114.55922058986894</v>
      </c>
      <c r="S249" s="655">
        <f t="shared" si="137"/>
        <v>92.692480822487198</v>
      </c>
      <c r="T249" s="655">
        <f t="shared" si="137"/>
        <v>93.186504880990327</v>
      </c>
      <c r="U249" s="655">
        <f t="shared" si="137"/>
        <v>93.680528939493456</v>
      </c>
      <c r="V249" s="655">
        <f t="shared" si="137"/>
        <v>94.174552997996571</v>
      </c>
      <c r="W249" s="655">
        <f t="shared" si="137"/>
        <v>94.668577056499686</v>
      </c>
      <c r="X249" s="655">
        <f t="shared" si="137"/>
        <v>95.162601115002815</v>
      </c>
      <c r="Y249" s="655">
        <f t="shared" si="137"/>
        <v>95.306625173505935</v>
      </c>
      <c r="Z249" s="655">
        <f t="shared" si="137"/>
        <v>95.450649232009056</v>
      </c>
      <c r="AA249" s="655">
        <f t="shared" si="137"/>
        <v>95.594673290512191</v>
      </c>
      <c r="AB249" s="655">
        <f t="shared" si="137"/>
        <v>95.738697349015311</v>
      </c>
      <c r="AC249" s="655">
        <f t="shared" si="137"/>
        <v>95.882721407518432</v>
      </c>
      <c r="AD249" s="655">
        <f t="shared" si="137"/>
        <v>96.026745466021566</v>
      </c>
      <c r="AE249" s="655">
        <f t="shared" si="137"/>
        <v>96.170769524524673</v>
      </c>
      <c r="AF249" s="655">
        <f t="shared" si="137"/>
        <v>96.314793583027807</v>
      </c>
      <c r="AG249" s="656">
        <f t="shared" si="137"/>
        <v>96.458817641530914</v>
      </c>
      <c r="AH249" s="662">
        <f>SUM(D249:W249)</f>
        <v>2019.9872287171813</v>
      </c>
      <c r="AI249" s="662">
        <f>SUM(E249:AG249)</f>
        <v>2885.7755985537574</v>
      </c>
      <c r="AJ249" s="10">
        <f t="shared" si="120"/>
        <v>100.99936143585907</v>
      </c>
    </row>
    <row r="250" spans="1:36" ht="13" thickBot="1" x14ac:dyDescent="0.3">
      <c r="B250" s="659" t="s">
        <v>963</v>
      </c>
      <c r="C250" s="677">
        <f>C249</f>
        <v>-1563.6897780339068</v>
      </c>
      <c r="D250" s="660">
        <f>C250+D249</f>
        <v>-1471.3710540878139</v>
      </c>
      <c r="E250" s="660">
        <f t="shared" ref="E250:AG250" si="138">D250+E249</f>
        <v>-1377.4637232385942</v>
      </c>
      <c r="F250" s="660">
        <f t="shared" si="138"/>
        <v>-1281.9677854862475</v>
      </c>
      <c r="G250" s="660">
        <f t="shared" si="138"/>
        <v>-1184.883240830774</v>
      </c>
      <c r="H250" s="660">
        <f t="shared" si="138"/>
        <v>-1086.2100892721735</v>
      </c>
      <c r="I250" s="660">
        <f t="shared" si="138"/>
        <v>-985.94833081044624</v>
      </c>
      <c r="J250" s="660">
        <f t="shared" si="138"/>
        <v>-884.09796544559219</v>
      </c>
      <c r="K250" s="660">
        <f t="shared" si="138"/>
        <v>-780.65899317761125</v>
      </c>
      <c r="L250" s="660">
        <f t="shared" si="138"/>
        <v>-675.63141400650352</v>
      </c>
      <c r="M250" s="660">
        <f t="shared" si="138"/>
        <v>-569.01522793226889</v>
      </c>
      <c r="N250" s="660">
        <f t="shared" si="138"/>
        <v>-460.81043495490735</v>
      </c>
      <c r="O250" s="660">
        <f t="shared" si="138"/>
        <v>-351.01703507441897</v>
      </c>
      <c r="P250" s="660">
        <f t="shared" si="138"/>
        <v>-239.63502829080375</v>
      </c>
      <c r="Q250" s="660">
        <f t="shared" si="138"/>
        <v>-126.66441460406166</v>
      </c>
      <c r="R250" s="660">
        <f t="shared" si="138"/>
        <v>-12.105194014192719</v>
      </c>
      <c r="S250" s="660">
        <f t="shared" si="138"/>
        <v>80.587286808294479</v>
      </c>
      <c r="T250" s="660">
        <f t="shared" si="138"/>
        <v>173.77379168928479</v>
      </c>
      <c r="U250" s="660">
        <f t="shared" si="138"/>
        <v>267.45432062877825</v>
      </c>
      <c r="V250" s="660">
        <f t="shared" si="138"/>
        <v>361.6288736267748</v>
      </c>
      <c r="W250" s="660">
        <f t="shared" si="138"/>
        <v>456.29745068327452</v>
      </c>
      <c r="X250" s="660">
        <f t="shared" si="138"/>
        <v>551.46005179827739</v>
      </c>
      <c r="Y250" s="660">
        <f t="shared" si="138"/>
        <v>646.76667697178334</v>
      </c>
      <c r="Z250" s="660">
        <f t="shared" si="138"/>
        <v>742.21732620379237</v>
      </c>
      <c r="AA250" s="660">
        <f t="shared" si="138"/>
        <v>837.81199949430459</v>
      </c>
      <c r="AB250" s="660">
        <f t="shared" si="138"/>
        <v>933.55069684331988</v>
      </c>
      <c r="AC250" s="660">
        <f t="shared" si="138"/>
        <v>1029.4334182508383</v>
      </c>
      <c r="AD250" s="660">
        <f t="shared" si="138"/>
        <v>1125.4601637168598</v>
      </c>
      <c r="AE250" s="660">
        <f t="shared" si="138"/>
        <v>1221.6309332413846</v>
      </c>
      <c r="AF250" s="660">
        <f t="shared" si="138"/>
        <v>1317.9457268244123</v>
      </c>
      <c r="AG250" s="661">
        <f t="shared" si="138"/>
        <v>1414.4045444659432</v>
      </c>
      <c r="AH250" s="663">
        <f>W250</f>
        <v>456.29745068327452</v>
      </c>
      <c r="AI250" s="663">
        <f>AG250</f>
        <v>1414.4045444659432</v>
      </c>
      <c r="AJ250" s="10">
        <f t="shared" si="120"/>
        <v>22.814872534163726</v>
      </c>
    </row>
  </sheetData>
  <sheetProtection password="B437" sheet="1" objects="1" scenarios="1"/>
  <autoFilter ref="B213:AH231"/>
  <mergeCells count="1">
    <mergeCell ref="B4:C4"/>
  </mergeCells>
  <phoneticPr fontId="4"/>
  <pageMargins left="0.7" right="0.7" top="0.75" bottom="0.75" header="0.3" footer="0.3"/>
  <pageSetup paperSize="8" scale="53" orientation="landscape" r:id="rId1"/>
  <rowBreaks count="1" manualBreakCount="1">
    <brk id="132" max="16383" man="1"/>
  </rowBreaks>
  <colBreaks count="1" manualBreakCount="1">
    <brk id="22"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84"/>
  <sheetViews>
    <sheetView workbookViewId="0">
      <selection activeCell="H64" sqref="H64"/>
    </sheetView>
  </sheetViews>
  <sheetFormatPr defaultColWidth="8.90625" defaultRowHeight="11" x14ac:dyDescent="0.2"/>
  <cols>
    <col min="1" max="1" width="47.90625" style="414" customWidth="1"/>
    <col min="2" max="8" width="24.08984375" style="414" customWidth="1"/>
    <col min="9" max="14" width="24.08984375" style="415" customWidth="1"/>
    <col min="15" max="20" width="24.08984375" style="414" customWidth="1"/>
    <col min="21" max="22" width="24.08984375" style="415" customWidth="1"/>
    <col min="23" max="26" width="24.08984375" style="414" customWidth="1"/>
    <col min="27" max="16384" width="8.90625" style="414"/>
  </cols>
  <sheetData>
    <row r="1" spans="1:26" ht="13" x14ac:dyDescent="0.2">
      <c r="A1" s="581" t="s">
        <v>318</v>
      </c>
      <c r="B1" s="582"/>
      <c r="C1" s="582"/>
      <c r="D1" s="582"/>
      <c r="E1" s="582"/>
      <c r="F1" s="582"/>
      <c r="G1" s="582"/>
      <c r="H1" s="582"/>
      <c r="I1" s="582"/>
      <c r="J1"/>
      <c r="K1" s="583" t="s">
        <v>319</v>
      </c>
      <c r="L1" s="583"/>
      <c r="M1" s="583"/>
      <c r="N1" s="583"/>
      <c r="O1" s="583"/>
      <c r="P1" s="583"/>
      <c r="Q1" s="583"/>
      <c r="R1" s="583"/>
      <c r="S1" s="584" t="s">
        <v>354</v>
      </c>
      <c r="T1" s="584"/>
      <c r="U1" s="588"/>
      <c r="V1" s="588"/>
      <c r="W1" s="584"/>
      <c r="X1" s="584"/>
      <c r="Y1" s="584"/>
      <c r="Z1" s="584"/>
    </row>
    <row r="2" spans="1:26" ht="33" x14ac:dyDescent="0.2">
      <c r="A2" s="586"/>
      <c r="B2" s="586" t="s">
        <v>320</v>
      </c>
      <c r="C2" s="586" t="s">
        <v>321</v>
      </c>
      <c r="D2" s="586" t="s">
        <v>322</v>
      </c>
      <c r="E2" s="586" t="s">
        <v>323</v>
      </c>
      <c r="F2" s="586" t="s">
        <v>324</v>
      </c>
      <c r="G2" s="586" t="s">
        <v>325</v>
      </c>
      <c r="H2" s="586" t="s">
        <v>326</v>
      </c>
      <c r="I2" s="586" t="s">
        <v>327</v>
      </c>
      <c r="J2" s="585"/>
      <c r="K2" s="587" t="s">
        <v>328</v>
      </c>
      <c r="L2" s="587" t="s">
        <v>329</v>
      </c>
      <c r="M2" s="587" t="s">
        <v>352</v>
      </c>
      <c r="N2" s="587" t="s">
        <v>353</v>
      </c>
      <c r="O2" s="587" t="s">
        <v>330</v>
      </c>
      <c r="P2" s="587" t="s">
        <v>331</v>
      </c>
      <c r="Q2" s="587" t="s">
        <v>332</v>
      </c>
      <c r="R2" s="587" t="s">
        <v>333</v>
      </c>
      <c r="S2" s="588" t="s">
        <v>334</v>
      </c>
      <c r="T2" s="588" t="s">
        <v>335</v>
      </c>
      <c r="U2" s="588" t="s">
        <v>352</v>
      </c>
      <c r="V2" s="588" t="s">
        <v>353</v>
      </c>
      <c r="W2" s="588" t="s">
        <v>330</v>
      </c>
      <c r="X2" s="588" t="s">
        <v>331</v>
      </c>
      <c r="Y2" s="588" t="s">
        <v>332</v>
      </c>
      <c r="Z2" s="588" t="s">
        <v>333</v>
      </c>
    </row>
    <row r="3" spans="1:26" ht="13" x14ac:dyDescent="0.2">
      <c r="A3" t="s">
        <v>815</v>
      </c>
      <c r="B3"/>
      <c r="C3"/>
      <c r="D3"/>
      <c r="E3"/>
      <c r="F3"/>
      <c r="G3"/>
      <c r="H3"/>
      <c r="I3"/>
      <c r="J3"/>
      <c r="K3"/>
      <c r="L3"/>
      <c r="M3" s="205">
        <f>波及効果シート!D53</f>
        <v>0.2</v>
      </c>
      <c r="N3" s="205">
        <f>波及効果シート!D54</f>
        <v>0.15</v>
      </c>
      <c r="O3" s="589">
        <f>波及効果シート!D56+波及効果シート!D58</f>
        <v>8.1755524577801136E-2</v>
      </c>
      <c r="P3" s="589">
        <f>波及効果シート!D57+波及効果シート!D59</f>
        <v>6.7744797850403049E-2</v>
      </c>
      <c r="Q3" s="589">
        <f>波及効果シート!D60+波及効果シート!D62</f>
        <v>0.2782188150671967</v>
      </c>
      <c r="R3" s="205">
        <f>波及効果シート!D61+波及効果シート!D63</f>
        <v>0.3228149435273675</v>
      </c>
      <c r="S3"/>
      <c r="T3"/>
      <c r="U3" s="205">
        <f>波及効果シート!D53</f>
        <v>0.2</v>
      </c>
      <c r="V3" s="205">
        <f>波及効果シート!D54</f>
        <v>0.15</v>
      </c>
      <c r="W3" s="589"/>
      <c r="X3" s="589"/>
      <c r="Y3" s="589"/>
      <c r="Z3" s="205"/>
    </row>
    <row r="4" spans="1:26" ht="13" x14ac:dyDescent="0.2">
      <c r="A4" t="str">
        <f>'（詳細設定）地域内経済効果の按分比率'!A3</f>
        <v>建設業</v>
      </c>
      <c r="B4" s="589">
        <f t="shared" ref="B4:B17" si="0">MAX($K4-O4-P4-M4,0)</f>
        <v>9.92056550331082E-2</v>
      </c>
      <c r="C4" s="589">
        <f t="shared" ref="C4:C17" si="1">MAX($L4-Q4-R4-N4,0)</f>
        <v>3.2870000362654708E-2</v>
      </c>
      <c r="D4" s="589">
        <f>O4+Q4</f>
        <v>1.3057809469373637E-2</v>
      </c>
      <c r="E4" s="589">
        <f>P4+R4</f>
        <v>6.3506165233209585E-3</v>
      </c>
      <c r="F4" s="589">
        <f>MAX(S4-W4-X4-U4,0)</f>
        <v>8.1679427106096936E-2</v>
      </c>
      <c r="G4" s="589">
        <f>MAX(T4-Y4-Z4-V4,0)</f>
        <v>7.4170209261148812E-2</v>
      </c>
      <c r="H4" s="589">
        <f>W4+Y4</f>
        <v>1.6969887233812597E-2</v>
      </c>
      <c r="I4" s="589">
        <f>X4+Z4</f>
        <v>5.9513669766058912E-3</v>
      </c>
      <c r="J4" s="589">
        <f t="shared" ref="J4:J40" si="2">SUM(B4:I4)</f>
        <v>0.33025497196612169</v>
      </c>
      <c r="K4" s="590">
        <f>VLOOKUP($A4,'（詳細設定）地域内経済効果の按分比率'!$A$3:$C$16,2,FALSE)</f>
        <v>0.14221302433479238</v>
      </c>
      <c r="L4" s="590">
        <f>VLOOKUP($A4,'（詳細設定）地域内経済効果の按分比率'!$A$3:$C$16,3,FALSE)</f>
        <v>4.4369014024263048E-2</v>
      </c>
      <c r="M4" s="601">
        <f t="shared" ref="M4:M17" si="3">K4*$M$3</f>
        <v>2.8442604866958477E-2</v>
      </c>
      <c r="N4" s="601">
        <f t="shared" ref="N4:N17" si="4">L4*$N$3</f>
        <v>6.6553521036394571E-3</v>
      </c>
      <c r="O4" s="1243">
        <f>IF(K4&gt;0,K4*$D$58*(1+$D$56),0)</f>
        <v>8.7184165968594834E-3</v>
      </c>
      <c r="P4" s="1243">
        <f>IF(K4&gt;0,K4*$D$59*(1+$D$57),0)</f>
        <v>5.8463478378662261E-3</v>
      </c>
      <c r="Q4" s="1299">
        <f>IF(L4&gt;0,L4*$D$54*$D$60*(1+$D$62)+L4*$D$68*(1+$D$69),0)</f>
        <v>4.339392872514153E-3</v>
      </c>
      <c r="R4" s="1299">
        <f>IF(L4&gt;0,L4*$D$54*$D$61*(1+$D$63),0)</f>
        <v>5.0426868545473246E-4</v>
      </c>
      <c r="S4" s="590">
        <v>0.11708887311731032</v>
      </c>
      <c r="T4" s="590">
        <v>0.10011740245154821</v>
      </c>
      <c r="U4" s="601">
        <f t="shared" ref="U4:U17" si="5">S4*$M$3</f>
        <v>2.3417774623462066E-2</v>
      </c>
      <c r="V4" s="601">
        <f t="shared" ref="V4:V17" si="6">T4*$N$3</f>
        <v>1.5017610367732231E-2</v>
      </c>
      <c r="W4" s="1243">
        <f>IF(S4&gt;0,S4*$D$58*(1+$D$56),0)</f>
        <v>7.1781721784520604E-3</v>
      </c>
      <c r="X4" s="1243">
        <f>IF(S4&gt;0,S4*$D$59*(1+$D$57),0)</f>
        <v>4.8134992092992643E-3</v>
      </c>
      <c r="Y4" s="1299">
        <f t="shared" ref="Y4:Y17" si="7">IF(T4&gt;0,T4*$D$54*$D$60*(1+$D$62)+T4*$D$68*(1+$D$69),0)</f>
        <v>9.7917150553605368E-3</v>
      </c>
      <c r="Z4" s="1299">
        <f>IF(T4&gt;0,T4*$D$54*$D$61*(1+$D$63),0)</f>
        <v>1.137867767306627E-3</v>
      </c>
    </row>
    <row r="5" spans="1:26" ht="13" x14ac:dyDescent="0.2">
      <c r="A5" t="str">
        <f>'（詳細設定）地域内経済効果の按分比率'!A4</f>
        <v>非鉄金属製造業</v>
      </c>
      <c r="B5" s="589">
        <f t="shared" si="0"/>
        <v>4.9726415476346514E-2</v>
      </c>
      <c r="C5" s="589">
        <f t="shared" si="1"/>
        <v>2.5502600530522352E-2</v>
      </c>
      <c r="D5" s="589">
        <f>O5+Q5</f>
        <v>7.7368416728691991E-3</v>
      </c>
      <c r="E5" s="589">
        <f>P5+R5</f>
        <v>3.3217003160051157E-3</v>
      </c>
      <c r="F5" s="589">
        <f t="shared" ref="F5:F45" si="8">MAX(S5-W5-X5-U5,0)</f>
        <v>5.8613889650939645E-2</v>
      </c>
      <c r="G5" s="589">
        <f t="shared" ref="G5:G45" si="9">MAX(T5-Y5-Z5-V5,0)</f>
        <v>6.2624471929355816E-2</v>
      </c>
      <c r="H5" s="589">
        <f>W5+Y5</f>
        <v>1.3418604297212998E-2</v>
      </c>
      <c r="I5" s="589">
        <f>X5+Z5</f>
        <v>4.4149513101677095E-3</v>
      </c>
      <c r="J5" s="589">
        <f t="shared" si="2"/>
        <v>0.22535947518341937</v>
      </c>
      <c r="K5" s="590">
        <f>VLOOKUP($A5,'（詳細設定）地域内経済効果の按分比率'!$A$3:$C$16,2,FALSE)</f>
        <v>7.1283677647807367E-2</v>
      </c>
      <c r="L5" s="590">
        <f>VLOOKUP($A5,'（詳細設定）地域内経済効果の按分比率'!$A$3:$C$16,3,FALSE)</f>
        <v>3.442425397352622E-2</v>
      </c>
      <c r="M5" s="601">
        <f t="shared" si="3"/>
        <v>1.4256735529561474E-2</v>
      </c>
      <c r="N5" s="601">
        <f t="shared" si="4"/>
        <v>5.163638096028933E-3</v>
      </c>
      <c r="O5" s="1243">
        <f t="shared" ref="O5:O17" si="10">IF(K5&gt;0,K5*$D$58*(1+$D$56),0)</f>
        <v>4.3700694869322175E-3</v>
      </c>
      <c r="P5" s="1243">
        <f t="shared" ref="P5:P17" si="11">IF(K5&gt;0,K5*$D$59*(1+$D$57),0)</f>
        <v>2.9304571549671633E-3</v>
      </c>
      <c r="Q5" s="1299">
        <f t="shared" ref="Q5:Q17" si="12">IF(L5&gt;0,L5*$D$54*$D$60*(1+$D$62)+L5*$D$68*(1+$D$69),0)</f>
        <v>3.3667721859369816E-3</v>
      </c>
      <c r="R5" s="1299">
        <f t="shared" ref="R5:R44" si="13">IF(L5&gt;0,L5*$D$54*$D$61*(1+$D$63),0)</f>
        <v>3.9124316103795239E-4</v>
      </c>
      <c r="S5" s="590">
        <v>8.402402577256339E-2</v>
      </c>
      <c r="T5" s="590">
        <v>8.4532584199559377E-2</v>
      </c>
      <c r="U5" s="601">
        <f t="shared" si="5"/>
        <v>1.6804805154512679E-2</v>
      </c>
      <c r="V5" s="601">
        <f t="shared" si="6"/>
        <v>1.2679887629933906E-2</v>
      </c>
      <c r="W5" s="1243">
        <f t="shared" ref="W5:W17" si="14">IF(S5&gt;0,S5*$D$58*(1+$D$56),0)</f>
        <v>5.1511207518230512E-3</v>
      </c>
      <c r="X5" s="1243">
        <f t="shared" ref="X5:X17" si="15">IF(S5&gt;0,S5*$D$59*(1+$D$57),0)</f>
        <v>3.4542102152880089E-3</v>
      </c>
      <c r="Y5" s="1299">
        <f t="shared" si="7"/>
        <v>8.2674835453899458E-3</v>
      </c>
      <c r="Z5" s="1299">
        <f t="shared" ref="Z5:Z17" si="16">IF(T5&gt;0,T5*$D$54*$D$61*(1+$D$63),0)</f>
        <v>9.6074109487970108E-4</v>
      </c>
    </row>
    <row r="6" spans="1:26" ht="13" x14ac:dyDescent="0.2">
      <c r="A6" t="str">
        <f>'（詳細設定）地域内経済効果の按分比率'!A5</f>
        <v>はん用機械器具製造業</v>
      </c>
      <c r="B6" s="589">
        <f t="shared" si="0"/>
        <v>0.12035066439076711</v>
      </c>
      <c r="C6" s="589">
        <f t="shared" si="1"/>
        <v>5.17034457439845E-2</v>
      </c>
      <c r="D6" s="589">
        <f t="shared" ref="D6:E37" si="17">O6+Q6</f>
        <v>1.7402412098426419E-2</v>
      </c>
      <c r="E6" s="589">
        <f t="shared" si="17"/>
        <v>7.8856553473945334E-3</v>
      </c>
      <c r="F6" s="589">
        <f t="shared" si="8"/>
        <v>6.9107282430702549E-2</v>
      </c>
      <c r="G6" s="589">
        <f t="shared" si="9"/>
        <v>6.5758508258294962E-2</v>
      </c>
      <c r="H6" s="589">
        <f t="shared" ref="H6:I37" si="18">W6+Y6</f>
        <v>1.4754532814500761E-2</v>
      </c>
      <c r="I6" s="589">
        <f t="shared" si="18"/>
        <v>5.0814239267871235E-3</v>
      </c>
      <c r="J6" s="589">
        <f t="shared" si="2"/>
        <v>0.35204392501085802</v>
      </c>
      <c r="K6" s="590">
        <f>VLOOKUP($A6,'（詳細設定）地域内経済効果の按分比率'!$A$3:$C$16,2,FALSE)</f>
        <v>0.17252476139591646</v>
      </c>
      <c r="L6" s="590">
        <f>VLOOKUP($A6,'（詳細設定）地域内経済効果の按分比率'!$A$3:$C$16,3,FALSE)</f>
        <v>6.9791021722163962E-2</v>
      </c>
      <c r="M6" s="601">
        <f t="shared" si="3"/>
        <v>3.4504952279183293E-2</v>
      </c>
      <c r="N6" s="601">
        <f t="shared" si="4"/>
        <v>1.0468653258324594E-2</v>
      </c>
      <c r="O6" s="1243">
        <f t="shared" si="10"/>
        <v>1.0576687684964677E-2</v>
      </c>
      <c r="P6" s="1243">
        <f t="shared" si="11"/>
        <v>7.0924570410014071E-3</v>
      </c>
      <c r="Q6" s="1299">
        <f t="shared" si="12"/>
        <v>6.8257244134617432E-3</v>
      </c>
      <c r="R6" s="1299">
        <f t="shared" si="13"/>
        <v>7.9319830639312588E-4</v>
      </c>
      <c r="S6" s="590">
        <v>9.9066486025912129E-2</v>
      </c>
      <c r="T6" s="590">
        <v>8.8763010128889056E-2</v>
      </c>
      <c r="U6" s="601">
        <f t="shared" si="5"/>
        <v>1.9813297205182427E-2</v>
      </c>
      <c r="V6" s="601">
        <f t="shared" si="6"/>
        <v>1.3314451519333357E-2</v>
      </c>
      <c r="W6" s="1243">
        <f t="shared" si="14"/>
        <v>6.0733037638491146E-3</v>
      </c>
      <c r="X6" s="1243">
        <f t="shared" si="15"/>
        <v>4.0726026261780337E-3</v>
      </c>
      <c r="Y6" s="1299">
        <f t="shared" si="7"/>
        <v>8.6812290506516464E-3</v>
      </c>
      <c r="Z6" s="1299">
        <f t="shared" si="16"/>
        <v>1.0088213006090895E-3</v>
      </c>
    </row>
    <row r="7" spans="1:26" ht="13" x14ac:dyDescent="0.2">
      <c r="A7" t="str">
        <f>'（詳細設定）地域内経済効果の按分比率'!A6</f>
        <v>生産用機械器具製造業</v>
      </c>
      <c r="B7" s="589">
        <f t="shared" si="0"/>
        <v>0.1039645362546809</v>
      </c>
      <c r="C7" s="589">
        <f t="shared" si="1"/>
        <v>5.2142579419401966E-2</v>
      </c>
      <c r="D7" s="589">
        <f t="shared" si="17"/>
        <v>1.602033525042686E-2</v>
      </c>
      <c r="E7" s="589">
        <f t="shared" si="17"/>
        <v>6.9267315054751203E-3</v>
      </c>
      <c r="F7" s="589">
        <f t="shared" si="8"/>
        <v>6.2948787955390204E-2</v>
      </c>
      <c r="G7" s="589">
        <f t="shared" si="9"/>
        <v>5.9537278922936213E-2</v>
      </c>
      <c r="H7" s="589">
        <f t="shared" si="18"/>
        <v>1.3392003533220119E-2</v>
      </c>
      <c r="I7" s="589">
        <f t="shared" si="18"/>
        <v>4.6230522288156295E-3</v>
      </c>
      <c r="J7" s="589">
        <f t="shared" si="2"/>
        <v>0.31955530507034702</v>
      </c>
      <c r="K7" s="590">
        <f>VLOOKUP($A7,'（詳細設定）地域内経済効果の按分比率'!$A$3:$C$16,2,FALSE)</f>
        <v>0.14903496297069016</v>
      </c>
      <c r="L7" s="590">
        <f>VLOOKUP($A7,'（詳細設定）地域内経済効果の按分比率'!$A$3:$C$16,3,FALSE)</f>
        <v>7.0383778886391454E-2</v>
      </c>
      <c r="M7" s="601">
        <f t="shared" si="3"/>
        <v>2.9806992594138035E-2</v>
      </c>
      <c r="N7" s="601">
        <f t="shared" si="4"/>
        <v>1.0557566832958718E-2</v>
      </c>
      <c r="O7" s="1243">
        <f t="shared" si="10"/>
        <v>9.1366378062330417E-3</v>
      </c>
      <c r="P7" s="1243">
        <f t="shared" si="11"/>
        <v>6.1267963156381704E-3</v>
      </c>
      <c r="Q7" s="1299">
        <f t="shared" si="12"/>
        <v>6.8836974441938183E-3</v>
      </c>
      <c r="R7" s="1299">
        <f t="shared" si="13"/>
        <v>7.999351898369503E-4</v>
      </c>
      <c r="S7" s="590">
        <v>9.0238177555079596E-2</v>
      </c>
      <c r="T7" s="590">
        <v>8.0365388936821755E-2</v>
      </c>
      <c r="U7" s="601">
        <f t="shared" si="5"/>
        <v>1.804763551101592E-2</v>
      </c>
      <c r="V7" s="601">
        <f t="shared" si="6"/>
        <v>1.2054808340523263E-2</v>
      </c>
      <c r="W7" s="1243">
        <f t="shared" si="14"/>
        <v>5.5320813866841061E-3</v>
      </c>
      <c r="X7" s="1243">
        <f t="shared" si="15"/>
        <v>3.7096727019893623E-3</v>
      </c>
      <c r="Y7" s="1299">
        <f t="shared" si="7"/>
        <v>7.8599221465360126E-3</v>
      </c>
      <c r="Z7" s="1299">
        <f t="shared" si="16"/>
        <v>9.1337952682626726E-4</v>
      </c>
    </row>
    <row r="8" spans="1:26" ht="13" x14ac:dyDescent="0.2">
      <c r="A8" t="str">
        <f>'（詳細設定）地域内経済効果の按分比率'!A7</f>
        <v>業務用機械器具製造業</v>
      </c>
      <c r="B8" s="589">
        <f t="shared" si="0"/>
        <v>9.6532508338086867E-2</v>
      </c>
      <c r="C8" s="589">
        <f t="shared" si="1"/>
        <v>5.6239182839011567E-2</v>
      </c>
      <c r="D8" s="589">
        <f t="shared" si="17"/>
        <v>1.5908012433783043E-2</v>
      </c>
      <c r="E8" s="589">
        <f t="shared" si="17"/>
        <v>6.5515974603623708E-3</v>
      </c>
      <c r="F8" s="589">
        <f t="shared" si="8"/>
        <v>4.7018000081430575E-2</v>
      </c>
      <c r="G8" s="589">
        <f t="shared" si="9"/>
        <v>4.7336175043257586E-2</v>
      </c>
      <c r="H8" s="589">
        <f t="shared" si="18"/>
        <v>1.03812190665821E-2</v>
      </c>
      <c r="I8" s="589">
        <f t="shared" si="18"/>
        <v>3.4970445827742546E-3</v>
      </c>
      <c r="J8" s="589">
        <f t="shared" si="2"/>
        <v>0.28346373984528844</v>
      </c>
      <c r="K8" s="590">
        <f>VLOOKUP($A8,'（詳細設定）地域内経済効果の按分比率'!$A$3:$C$16,2,FALSE)</f>
        <v>0.13838102225927898</v>
      </c>
      <c r="L8" s="590">
        <f>VLOOKUP($A8,'（詳細設定）地域内経済効果の按分比率'!$A$3:$C$16,3,FALSE)</f>
        <v>7.5913509722141975E-2</v>
      </c>
      <c r="M8" s="601">
        <f t="shared" si="3"/>
        <v>2.7676204451855799E-2</v>
      </c>
      <c r="N8" s="601">
        <f t="shared" si="4"/>
        <v>1.1387026458321296E-2</v>
      </c>
      <c r="O8" s="1243">
        <f t="shared" si="10"/>
        <v>8.4834944394085177E-3</v>
      </c>
      <c r="P8" s="1243">
        <f t="shared" si="11"/>
        <v>5.6888150299277919E-3</v>
      </c>
      <c r="Q8" s="1299">
        <f t="shared" si="12"/>
        <v>7.4245179943745274E-3</v>
      </c>
      <c r="R8" s="1299">
        <f t="shared" si="13"/>
        <v>8.6278243043457869E-4</v>
      </c>
      <c r="S8" s="590">
        <v>6.7401117280282322E-2</v>
      </c>
      <c r="T8" s="590">
        <v>6.3895935235080775E-2</v>
      </c>
      <c r="U8" s="601">
        <f t="shared" si="5"/>
        <v>1.3480223456056465E-2</v>
      </c>
      <c r="V8" s="601">
        <f t="shared" si="6"/>
        <v>9.5843902852621159E-3</v>
      </c>
      <c r="W8" s="1243">
        <f t="shared" si="14"/>
        <v>4.1320478366306855E-3</v>
      </c>
      <c r="X8" s="1243">
        <f t="shared" si="15"/>
        <v>2.7708459061646026E-3</v>
      </c>
      <c r="Y8" s="1299">
        <f t="shared" si="7"/>
        <v>6.2491712299514142E-3</v>
      </c>
      <c r="Z8" s="1299">
        <f t="shared" si="16"/>
        <v>7.2619867660965172E-4</v>
      </c>
    </row>
    <row r="9" spans="1:26" ht="13" x14ac:dyDescent="0.2">
      <c r="A9" t="str">
        <f>'（詳細設定）地域内経済効果の按分比率'!A8</f>
        <v>電気機械器具製造業</v>
      </c>
      <c r="B9" s="589">
        <f t="shared" si="0"/>
        <v>9.213398644050913E-2</v>
      </c>
      <c r="C9" s="589">
        <f t="shared" si="1"/>
        <v>4.6206443457752995E-2</v>
      </c>
      <c r="D9" s="589">
        <f t="shared" si="17"/>
        <v>1.4196970080016601E-2</v>
      </c>
      <c r="E9" s="589">
        <f t="shared" si="17"/>
        <v>6.1384702234965633E-3</v>
      </c>
      <c r="F9" s="589">
        <f t="shared" si="8"/>
        <v>0</v>
      </c>
      <c r="G9" s="589">
        <f t="shared" si="9"/>
        <v>0</v>
      </c>
      <c r="H9" s="589">
        <f t="shared" si="18"/>
        <v>0</v>
      </c>
      <c r="I9" s="589">
        <f t="shared" si="18"/>
        <v>0</v>
      </c>
      <c r="J9" s="589">
        <f t="shared" si="2"/>
        <v>0.15867587020177529</v>
      </c>
      <c r="K9" s="590">
        <f>VLOOKUP($A9,'（詳細設定）地域内経済効果の按分比率'!$A$3:$C$16,2,FALSE)</f>
        <v>0.132075664954309</v>
      </c>
      <c r="L9" s="590">
        <f>VLOOKUP($A9,'（詳細設定）地域内経済効果の按分比率'!$A$3:$C$16,3,FALSE)</f>
        <v>6.237098616273893E-2</v>
      </c>
      <c r="M9" s="601">
        <f t="shared" si="3"/>
        <v>2.6415132990861803E-2</v>
      </c>
      <c r="N9" s="601">
        <f t="shared" si="4"/>
        <v>9.3556479244108395E-3</v>
      </c>
      <c r="O9" s="1243">
        <f t="shared" si="10"/>
        <v>8.0969424197611141E-3</v>
      </c>
      <c r="P9" s="1243">
        <f t="shared" si="11"/>
        <v>5.4296031031769547E-3</v>
      </c>
      <c r="Q9" s="1299">
        <f t="shared" si="12"/>
        <v>6.1000276602554858E-3</v>
      </c>
      <c r="R9" s="1299">
        <f t="shared" si="13"/>
        <v>7.088671203196083E-4</v>
      </c>
      <c r="S9" s="590">
        <v>0</v>
      </c>
      <c r="T9" s="590">
        <v>0</v>
      </c>
      <c r="U9" s="601">
        <f t="shared" si="5"/>
        <v>0</v>
      </c>
      <c r="V9" s="601">
        <f t="shared" si="6"/>
        <v>0</v>
      </c>
      <c r="W9" s="1243">
        <f t="shared" si="14"/>
        <v>0</v>
      </c>
      <c r="X9" s="1243">
        <f t="shared" si="15"/>
        <v>0</v>
      </c>
      <c r="Y9" s="1299">
        <f t="shared" si="7"/>
        <v>0</v>
      </c>
      <c r="Z9" s="1299">
        <f t="shared" si="16"/>
        <v>0</v>
      </c>
    </row>
    <row r="10" spans="1:26" ht="13" x14ac:dyDescent="0.2">
      <c r="A10" t="str">
        <f>'（詳細設定）地域内経済効果の按分比率'!A9</f>
        <v>その他輸送用機械器具製造業</v>
      </c>
      <c r="B10" s="589">
        <f t="shared" si="0"/>
        <v>9.393547613369102E-2</v>
      </c>
      <c r="C10" s="589">
        <f t="shared" si="1"/>
        <v>4.5435517675070508E-3</v>
      </c>
      <c r="D10" s="589">
        <f t="shared" si="17"/>
        <v>8.8550866440847698E-3</v>
      </c>
      <c r="E10" s="589">
        <f t="shared" si="17"/>
        <v>5.6054717819077051E-3</v>
      </c>
      <c r="F10" s="589">
        <f t="shared" si="8"/>
        <v>0</v>
      </c>
      <c r="G10" s="589">
        <f t="shared" si="9"/>
        <v>0</v>
      </c>
      <c r="H10" s="589">
        <f t="shared" si="18"/>
        <v>0</v>
      </c>
      <c r="I10" s="589">
        <f t="shared" si="18"/>
        <v>0</v>
      </c>
      <c r="J10" s="589">
        <f t="shared" si="2"/>
        <v>0.11293958632719055</v>
      </c>
      <c r="K10" s="590">
        <f>VLOOKUP($A10,'（詳細設定）地域内経済効果の按分比率'!$A$3:$C$16,2,FALSE)</f>
        <v>0.13465813162407547</v>
      </c>
      <c r="L10" s="590">
        <f>VLOOKUP($A10,'（詳細設定）地域内経済効果の按分比率'!$A$3:$C$16,3,FALSE)</f>
        <v>6.1330365034472445E-3</v>
      </c>
      <c r="M10" s="601">
        <f t="shared" si="3"/>
        <v>2.6931626324815095E-2</v>
      </c>
      <c r="N10" s="601">
        <f t="shared" si="4"/>
        <v>9.1995547551708661E-4</v>
      </c>
      <c r="O10" s="1243">
        <f t="shared" si="10"/>
        <v>8.2552613949734305E-3</v>
      </c>
      <c r="P10" s="1243">
        <f t="shared" si="11"/>
        <v>5.5357677705959374E-3</v>
      </c>
      <c r="Q10" s="1299">
        <f t="shared" si="12"/>
        <v>5.9982524911133942E-4</v>
      </c>
      <c r="R10" s="1299">
        <f t="shared" si="13"/>
        <v>6.9704011311768127E-5</v>
      </c>
      <c r="S10" s="590">
        <v>0</v>
      </c>
      <c r="T10" s="590">
        <v>0</v>
      </c>
      <c r="U10" s="601">
        <f t="shared" si="5"/>
        <v>0</v>
      </c>
      <c r="V10" s="601">
        <f t="shared" si="6"/>
        <v>0</v>
      </c>
      <c r="W10" s="1243">
        <f t="shared" si="14"/>
        <v>0</v>
      </c>
      <c r="X10" s="1243">
        <f>IF(S10&gt;0,S10*$D$59*(1+$D$57),0)</f>
        <v>0</v>
      </c>
      <c r="Y10" s="1299">
        <f t="shared" si="7"/>
        <v>0</v>
      </c>
      <c r="Z10" s="1299">
        <f t="shared" si="16"/>
        <v>0</v>
      </c>
    </row>
    <row r="11" spans="1:26" ht="13" x14ac:dyDescent="0.2">
      <c r="A11" t="str">
        <f>'（詳細設定）地域内経済効果の按分比率'!A10</f>
        <v>その他の学術研究、専門・技術サービス業</v>
      </c>
      <c r="B11" s="589">
        <f t="shared" si="0"/>
        <v>6.9758487661131574E-2</v>
      </c>
      <c r="C11" s="589">
        <f t="shared" si="1"/>
        <v>7.408323372856529E-2</v>
      </c>
      <c r="D11" s="589">
        <f t="shared" si="17"/>
        <v>1.5910765969726889E-2</v>
      </c>
      <c r="E11" s="589">
        <f t="shared" si="17"/>
        <v>5.2475126405762433E-3</v>
      </c>
      <c r="F11" s="589">
        <f t="shared" si="8"/>
        <v>7.8082994766298611E-2</v>
      </c>
      <c r="G11" s="589">
        <f t="shared" si="9"/>
        <v>0.11071162691575326</v>
      </c>
      <c r="H11" s="589">
        <f t="shared" si="18"/>
        <v>2.1477906355442552E-2</v>
      </c>
      <c r="I11" s="589">
        <f t="shared" si="18"/>
        <v>6.3000164858740418E-3</v>
      </c>
      <c r="J11" s="589">
        <f t="shared" si="2"/>
        <v>0.38157254452336847</v>
      </c>
      <c r="K11" s="590">
        <f>VLOOKUP($A11,'（詳細設定）地域内経済効果の按分比率'!$A$3:$C$16,2,FALSE)</f>
        <v>0.1</v>
      </c>
      <c r="L11" s="590">
        <f>VLOOKUP($A11,'（詳細設定）地域内経済効果の按分比率'!$A$3:$C$16,3,FALSE)</f>
        <v>0.1</v>
      </c>
      <c r="M11" s="601">
        <f t="shared" si="3"/>
        <v>2.0000000000000004E-2</v>
      </c>
      <c r="N11" s="601">
        <f t="shared" si="4"/>
        <v>1.4999999999999999E-2</v>
      </c>
      <c r="O11" s="1243">
        <f t="shared" si="10"/>
        <v>6.1305331474668075E-3</v>
      </c>
      <c r="P11" s="1243">
        <f t="shared" si="11"/>
        <v>4.1109791914016123E-3</v>
      </c>
      <c r="Q11" s="1299">
        <f t="shared" si="12"/>
        <v>9.780232822260081E-3</v>
      </c>
      <c r="R11" s="1299">
        <f t="shared" si="13"/>
        <v>1.1365334491746308E-3</v>
      </c>
      <c r="S11" s="590">
        <v>0.11193332508239758</v>
      </c>
      <c r="T11" s="590">
        <v>0.1494422170087652</v>
      </c>
      <c r="U11" s="601">
        <f t="shared" si="5"/>
        <v>2.2386665016479516E-2</v>
      </c>
      <c r="V11" s="601">
        <f t="shared" si="6"/>
        <v>2.2416332551314779E-2</v>
      </c>
      <c r="W11" s="1243">
        <f t="shared" si="14"/>
        <v>6.8621095972381608E-3</v>
      </c>
      <c r="X11" s="1243">
        <f t="shared" si="15"/>
        <v>4.6015557023812862E-3</v>
      </c>
      <c r="Y11" s="1299">
        <f t="shared" si="7"/>
        <v>1.461579675820439E-2</v>
      </c>
      <c r="Z11" s="1299">
        <f t="shared" si="16"/>
        <v>1.6984607834927556E-3</v>
      </c>
    </row>
    <row r="12" spans="1:26" ht="13" x14ac:dyDescent="0.2">
      <c r="A12" t="str">
        <f>'（詳細設定）地域内経済効果の按分比率'!A11</f>
        <v>追加する場合はこちらに入力　イニシャル①</v>
      </c>
      <c r="B12" s="589">
        <f t="shared" si="0"/>
        <v>0</v>
      </c>
      <c r="C12" s="589">
        <f t="shared" si="1"/>
        <v>0</v>
      </c>
      <c r="D12" s="589">
        <f t="shared" si="17"/>
        <v>0</v>
      </c>
      <c r="E12" s="589">
        <f t="shared" si="17"/>
        <v>0</v>
      </c>
      <c r="F12" s="589">
        <f t="shared" si="8"/>
        <v>8.1866943438114459E-2</v>
      </c>
      <c r="G12" s="589">
        <f t="shared" si="9"/>
        <v>6.9529094034910435E-2</v>
      </c>
      <c r="H12" s="589">
        <f t="shared" si="18"/>
        <v>1.6373661325239076E-2</v>
      </c>
      <c r="I12" s="589">
        <f t="shared" si="18"/>
        <v>5.891216851765739E-3</v>
      </c>
      <c r="J12" s="589">
        <f t="shared" si="2"/>
        <v>0.1736609156500297</v>
      </c>
      <c r="K12" s="590">
        <f>VLOOKUP($A12,'（詳細設定）地域内経済効果の按分比率'!$A$3:$C$16,2,FALSE)</f>
        <v>0</v>
      </c>
      <c r="L12" s="590">
        <f>VLOOKUP($A12,'（詳細設定）地域内経済効果の按分比率'!$A$3:$C$16,3,FALSE)</f>
        <v>0</v>
      </c>
      <c r="M12" s="601">
        <f t="shared" si="3"/>
        <v>0</v>
      </c>
      <c r="N12" s="601">
        <f t="shared" si="4"/>
        <v>0</v>
      </c>
      <c r="O12" s="1243">
        <f t="shared" si="10"/>
        <v>0</v>
      </c>
      <c r="P12" s="1243">
        <f t="shared" si="11"/>
        <v>0</v>
      </c>
      <c r="Q12" s="1299">
        <f t="shared" si="12"/>
        <v>0</v>
      </c>
      <c r="R12" s="1299">
        <f t="shared" si="13"/>
        <v>0</v>
      </c>
      <c r="S12" s="590">
        <v>0.1173576810262897</v>
      </c>
      <c r="T12" s="590">
        <v>9.3852671563527001E-2</v>
      </c>
      <c r="U12" s="601">
        <f t="shared" si="5"/>
        <v>2.347153620525794E-2</v>
      </c>
      <c r="V12" s="601">
        <f t="shared" si="6"/>
        <v>1.407790073452905E-2</v>
      </c>
      <c r="W12" s="1243">
        <f t="shared" si="14"/>
        <v>7.1946515364150537E-3</v>
      </c>
      <c r="X12" s="1243">
        <f t="shared" si="15"/>
        <v>4.8245498465022477E-3</v>
      </c>
      <c r="Y12" s="1299">
        <f t="shared" si="7"/>
        <v>9.1790097888240219E-3</v>
      </c>
      <c r="Z12" s="1299">
        <f t="shared" si="16"/>
        <v>1.0666670052634911E-3</v>
      </c>
    </row>
    <row r="13" spans="1:26" ht="13" x14ac:dyDescent="0.2">
      <c r="A13" t="str">
        <f>'（詳細設定）地域内経済効果の按分比率'!A12</f>
        <v>追加する場合はこちらに入力　イニシャル②</v>
      </c>
      <c r="B13" s="589">
        <f t="shared" si="0"/>
        <v>0</v>
      </c>
      <c r="C13" s="589">
        <f t="shared" si="1"/>
        <v>0</v>
      </c>
      <c r="D13" s="589">
        <f t="shared" si="17"/>
        <v>0</v>
      </c>
      <c r="E13" s="589">
        <f t="shared" si="17"/>
        <v>0</v>
      </c>
      <c r="F13" s="589">
        <f t="shared" si="8"/>
        <v>6.7141138808419862E-2</v>
      </c>
      <c r="G13" s="589">
        <f t="shared" si="9"/>
        <v>4.6261412663896148E-2</v>
      </c>
      <c r="H13" s="589">
        <f t="shared" si="18"/>
        <v>1.2007799150146169E-2</v>
      </c>
      <c r="I13" s="589">
        <f t="shared" si="18"/>
        <v>4.6664450591578106E-3</v>
      </c>
      <c r="J13" s="589">
        <f t="shared" si="2"/>
        <v>0.13007679568161998</v>
      </c>
      <c r="K13" s="590">
        <f>VLOOKUP($A13,'（詳細設定）地域内経済効果の按分比率'!$A$3:$C$16,2,FALSE)</f>
        <v>0</v>
      </c>
      <c r="L13" s="590">
        <f>VLOOKUP($A13,'（詳細設定）地域内経済効果の按分比率'!$A$3:$C$16,3,FALSE)</f>
        <v>0</v>
      </c>
      <c r="M13" s="601">
        <f t="shared" si="3"/>
        <v>0</v>
      </c>
      <c r="N13" s="601">
        <f t="shared" si="4"/>
        <v>0</v>
      </c>
      <c r="O13" s="1243">
        <f t="shared" si="10"/>
        <v>0</v>
      </c>
      <c r="P13" s="1243">
        <f t="shared" si="11"/>
        <v>0</v>
      </c>
      <c r="Q13" s="1299">
        <f t="shared" si="12"/>
        <v>0</v>
      </c>
      <c r="R13" s="1299">
        <f t="shared" si="13"/>
        <v>0</v>
      </c>
      <c r="S13" s="590">
        <v>9.6247985097632688E-2</v>
      </c>
      <c r="T13" s="590">
        <v>6.2445185415898642E-2</v>
      </c>
      <c r="U13" s="601">
        <f t="shared" si="5"/>
        <v>1.924959701952654E-2</v>
      </c>
      <c r="V13" s="601">
        <f t="shared" si="6"/>
        <v>9.3667778123847963E-3</v>
      </c>
      <c r="W13" s="1243">
        <f t="shared" si="14"/>
        <v>5.9005146301792846E-3</v>
      </c>
      <c r="X13" s="1243">
        <f t="shared" si="15"/>
        <v>3.9567346395070046E-3</v>
      </c>
      <c r="Y13" s="1299">
        <f t="shared" si="7"/>
        <v>6.1072845199668839E-3</v>
      </c>
      <c r="Z13" s="1299">
        <f t="shared" si="16"/>
        <v>7.097104196508063E-4</v>
      </c>
    </row>
    <row r="14" spans="1:26" ht="13" x14ac:dyDescent="0.2">
      <c r="A14" t="str">
        <f>'（詳細設定）地域内経済効果の按分比率'!A13</f>
        <v>追加する場合はこちらに入力　イニシャル③</v>
      </c>
      <c r="B14" s="589">
        <f t="shared" si="0"/>
        <v>0</v>
      </c>
      <c r="C14" s="589">
        <f t="shared" si="1"/>
        <v>0</v>
      </c>
      <c r="D14" s="589">
        <f t="shared" si="17"/>
        <v>0</v>
      </c>
      <c r="E14" s="589">
        <f t="shared" si="17"/>
        <v>0</v>
      </c>
      <c r="F14" s="589">
        <f t="shared" si="8"/>
        <v>7.036626239248539E-2</v>
      </c>
      <c r="G14" s="589">
        <f t="shared" si="9"/>
        <v>6.487961165668564E-2</v>
      </c>
      <c r="H14" s="589">
        <f t="shared" si="18"/>
        <v>1.4749145678425567E-2</v>
      </c>
      <c r="I14" s="589">
        <f t="shared" si="18"/>
        <v>5.1421342080818638E-3</v>
      </c>
      <c r="J14" s="589">
        <f t="shared" si="2"/>
        <v>0.15513715393567845</v>
      </c>
      <c r="K14" s="590">
        <f>VLOOKUP($A14,'（詳細設定）地域内経済効果の按分比率'!$A$3:$C$16,2,FALSE)</f>
        <v>0</v>
      </c>
      <c r="L14" s="590">
        <f>VLOOKUP($A14,'（詳細設定）地域内経済効果の按分比率'!$A$3:$C$16,3,FALSE)</f>
        <v>0</v>
      </c>
      <c r="M14" s="601">
        <f t="shared" si="3"/>
        <v>0</v>
      </c>
      <c r="N14" s="601">
        <f t="shared" si="4"/>
        <v>0</v>
      </c>
      <c r="O14" s="1243">
        <f t="shared" si="10"/>
        <v>0</v>
      </c>
      <c r="P14" s="1243">
        <f t="shared" si="11"/>
        <v>0</v>
      </c>
      <c r="Q14" s="1299">
        <f t="shared" si="12"/>
        <v>0</v>
      </c>
      <c r="R14" s="1299">
        <f t="shared" si="13"/>
        <v>0</v>
      </c>
      <c r="S14" s="590">
        <v>0.10087125560162115</v>
      </c>
      <c r="T14" s="590">
        <v>8.7576646416919465E-2</v>
      </c>
      <c r="U14" s="601">
        <f t="shared" si="5"/>
        <v>2.017425112032423E-2</v>
      </c>
      <c r="V14" s="601">
        <f t="shared" si="6"/>
        <v>1.313649696253792E-2</v>
      </c>
      <c r="W14" s="1243">
        <f t="shared" si="14"/>
        <v>6.1839457609233527E-3</v>
      </c>
      <c r="X14" s="1243">
        <f t="shared" si="15"/>
        <v>4.1467963278881788E-3</v>
      </c>
      <c r="Y14" s="1299">
        <f t="shared" si="7"/>
        <v>8.5651999175022156E-3</v>
      </c>
      <c r="Z14" s="1299">
        <f t="shared" si="16"/>
        <v>9.9533788019368552E-4</v>
      </c>
    </row>
    <row r="15" spans="1:26" ht="13" x14ac:dyDescent="0.2">
      <c r="A15" t="str">
        <f>'（詳細設定）地域内経済効果の按分比率'!A14</f>
        <v>追加する場合はこちらに入力　イニシャル④</v>
      </c>
      <c r="B15" s="589">
        <f t="shared" si="0"/>
        <v>0</v>
      </c>
      <c r="C15" s="589">
        <f t="shared" si="1"/>
        <v>0</v>
      </c>
      <c r="D15" s="589">
        <f t="shared" si="17"/>
        <v>0</v>
      </c>
      <c r="E15" s="589">
        <f t="shared" si="17"/>
        <v>0</v>
      </c>
      <c r="F15" s="589">
        <f t="shared" si="8"/>
        <v>0</v>
      </c>
      <c r="G15" s="589">
        <f t="shared" si="9"/>
        <v>0</v>
      </c>
      <c r="H15" s="589">
        <f t="shared" si="18"/>
        <v>0</v>
      </c>
      <c r="I15" s="589">
        <f t="shared" si="18"/>
        <v>0</v>
      </c>
      <c r="J15" s="589">
        <f t="shared" si="2"/>
        <v>0</v>
      </c>
      <c r="K15" s="590">
        <f>VLOOKUP($A15,'（詳細設定）地域内経済効果の按分比率'!$A$3:$C$16,2,FALSE)</f>
        <v>0</v>
      </c>
      <c r="L15" s="590">
        <f>VLOOKUP($A15,'（詳細設定）地域内経済効果の按分比率'!$A$3:$C$16,3,FALSE)</f>
        <v>0</v>
      </c>
      <c r="M15" s="601">
        <f t="shared" si="3"/>
        <v>0</v>
      </c>
      <c r="N15" s="601">
        <f t="shared" si="4"/>
        <v>0</v>
      </c>
      <c r="O15" s="1243">
        <f t="shared" si="10"/>
        <v>0</v>
      </c>
      <c r="P15" s="1243">
        <f t="shared" si="11"/>
        <v>0</v>
      </c>
      <c r="Q15" s="1299">
        <f t="shared" si="12"/>
        <v>0</v>
      </c>
      <c r="R15" s="1299">
        <f t="shared" si="13"/>
        <v>0</v>
      </c>
      <c r="S15" s="590">
        <v>0</v>
      </c>
      <c r="T15" s="590">
        <v>0</v>
      </c>
      <c r="U15" s="601">
        <f t="shared" si="5"/>
        <v>0</v>
      </c>
      <c r="V15" s="601">
        <f t="shared" si="6"/>
        <v>0</v>
      </c>
      <c r="W15" s="1243">
        <f t="shared" si="14"/>
        <v>0</v>
      </c>
      <c r="X15" s="1243">
        <f t="shared" si="15"/>
        <v>0</v>
      </c>
      <c r="Y15" s="1299">
        <f t="shared" si="7"/>
        <v>0</v>
      </c>
      <c r="Z15" s="1299">
        <f t="shared" si="16"/>
        <v>0</v>
      </c>
    </row>
    <row r="16" spans="1:26" ht="13" x14ac:dyDescent="0.2">
      <c r="A16" t="str">
        <f>'（詳細設定）地域内経済効果の按分比率'!A15</f>
        <v>追加する場合はこちらに入力　イニシャル⑤</v>
      </c>
      <c r="B16" s="589">
        <f t="shared" si="0"/>
        <v>0</v>
      </c>
      <c r="C16" s="589">
        <f t="shared" si="1"/>
        <v>0</v>
      </c>
      <c r="D16" s="589">
        <f t="shared" si="17"/>
        <v>0</v>
      </c>
      <c r="E16" s="589">
        <f t="shared" si="17"/>
        <v>0</v>
      </c>
      <c r="F16" s="589">
        <f t="shared" si="8"/>
        <v>7.3091314182005582E-2</v>
      </c>
      <c r="G16" s="589">
        <f t="shared" si="9"/>
        <v>5.6844298230267105E-2</v>
      </c>
      <c r="H16" s="589">
        <f t="shared" si="18"/>
        <v>1.3927832858248453E-2</v>
      </c>
      <c r="I16" s="589">
        <f t="shared" si="18"/>
        <v>5.1794536759465753E-3</v>
      </c>
      <c r="J16" s="589">
        <f t="shared" si="2"/>
        <v>0.14904289894646772</v>
      </c>
      <c r="K16" s="590">
        <f>VLOOKUP($A16,'（詳細設定）地域内経済効果の按分比率'!$A$3:$C$16,2,FALSE)</f>
        <v>0</v>
      </c>
      <c r="L16" s="590">
        <f>VLOOKUP($A16,'（詳細設定）地域内経済効果の按分比率'!$A$3:$C$16,3,FALSE)</f>
        <v>0</v>
      </c>
      <c r="M16" s="601">
        <f t="shared" si="3"/>
        <v>0</v>
      </c>
      <c r="N16" s="601">
        <f t="shared" si="4"/>
        <v>0</v>
      </c>
      <c r="O16" s="1243">
        <f t="shared" si="10"/>
        <v>0</v>
      </c>
      <c r="P16" s="1243">
        <f t="shared" si="11"/>
        <v>0</v>
      </c>
      <c r="Q16" s="1299">
        <f t="shared" si="12"/>
        <v>0</v>
      </c>
      <c r="R16" s="1299">
        <f t="shared" si="13"/>
        <v>0</v>
      </c>
      <c r="S16" s="590">
        <v>0.10477766452888713</v>
      </c>
      <c r="T16" s="590">
        <v>7.6730314498068233E-2</v>
      </c>
      <c r="U16" s="601">
        <f t="shared" si="5"/>
        <v>2.0955532905777428E-2</v>
      </c>
      <c r="V16" s="601">
        <f t="shared" si="6"/>
        <v>1.1509547174710234E-2</v>
      </c>
      <c r="W16" s="1243">
        <f t="shared" si="14"/>
        <v>6.4234294550849971E-3</v>
      </c>
      <c r="X16" s="1243">
        <f t="shared" si="15"/>
        <v>4.3073879860191389E-3</v>
      </c>
      <c r="Y16" s="1299">
        <f t="shared" si="7"/>
        <v>7.5044034031634546E-3</v>
      </c>
      <c r="Z16" s="1299">
        <f t="shared" si="16"/>
        <v>8.7206568992743657E-4</v>
      </c>
    </row>
    <row r="17" spans="1:26" ht="13" x14ac:dyDescent="0.2">
      <c r="A17" t="str">
        <f>'（詳細設定）地域内経済効果の按分比率'!A16</f>
        <v>追加する場合はこちらに入力　イニシャル⑥</v>
      </c>
      <c r="B17" s="589">
        <f t="shared" si="0"/>
        <v>0</v>
      </c>
      <c r="C17" s="589">
        <f t="shared" si="1"/>
        <v>0</v>
      </c>
      <c r="D17" s="589">
        <f t="shared" si="17"/>
        <v>0</v>
      </c>
      <c r="E17" s="589">
        <f t="shared" si="17"/>
        <v>0</v>
      </c>
      <c r="F17" s="589">
        <f t="shared" si="8"/>
        <v>8.5745146117992374E-2</v>
      </c>
      <c r="G17" s="589">
        <f t="shared" si="9"/>
        <v>6.9215306602088397E-2</v>
      </c>
      <c r="H17" s="589">
        <f t="shared" si="18"/>
        <v>1.6673061300543222E-2</v>
      </c>
      <c r="I17" s="589">
        <f t="shared" si="18"/>
        <v>6.1149516266885157E-3</v>
      </c>
      <c r="J17" s="589">
        <f t="shared" si="2"/>
        <v>0.1777484656473125</v>
      </c>
      <c r="K17" s="590">
        <f>VLOOKUP($A17,'（詳細設定）地域内経済効果の按分比率'!$A$3:$C$16,2,FALSE)</f>
        <v>0</v>
      </c>
      <c r="L17" s="590">
        <f>VLOOKUP($A17,'（詳細設定）地域内経済効果の按分比率'!$A$3:$C$16,3,FALSE)</f>
        <v>0</v>
      </c>
      <c r="M17" s="601">
        <f t="shared" si="3"/>
        <v>0</v>
      </c>
      <c r="N17" s="601">
        <f t="shared" si="4"/>
        <v>0</v>
      </c>
      <c r="O17" s="1243">
        <f t="shared" si="10"/>
        <v>0</v>
      </c>
      <c r="P17" s="1243">
        <f t="shared" si="11"/>
        <v>0</v>
      </c>
      <c r="Q17" s="1299">
        <f t="shared" si="12"/>
        <v>0</v>
      </c>
      <c r="R17" s="1299">
        <f t="shared" si="13"/>
        <v>0</v>
      </c>
      <c r="S17" s="590">
        <v>0.12291715172284093</v>
      </c>
      <c r="T17" s="590">
        <v>9.3429110904752657E-2</v>
      </c>
      <c r="U17" s="601">
        <f t="shared" si="5"/>
        <v>2.4583430344568186E-2</v>
      </c>
      <c r="V17" s="601">
        <f t="shared" si="6"/>
        <v>1.4014366635712898E-2</v>
      </c>
      <c r="W17" s="1243">
        <f t="shared" si="14"/>
        <v>7.5354767302908306E-3</v>
      </c>
      <c r="X17" s="1243">
        <f t="shared" si="15"/>
        <v>5.053098529989539E-3</v>
      </c>
      <c r="Y17" s="1299">
        <f t="shared" si="7"/>
        <v>9.1375845702523911E-3</v>
      </c>
      <c r="Z17" s="1299">
        <f t="shared" si="16"/>
        <v>1.0618530966989763E-3</v>
      </c>
    </row>
    <row r="18" spans="1:26" ht="13" x14ac:dyDescent="0.2">
      <c r="A18" t="s">
        <v>816</v>
      </c>
      <c r="B18" s="589"/>
      <c r="C18" s="589"/>
      <c r="D18" s="589"/>
      <c r="E18" s="589"/>
      <c r="F18" s="589"/>
      <c r="G18" s="589"/>
      <c r="H18" s="589"/>
      <c r="I18" s="589"/>
      <c r="J18" s="589"/>
      <c r="K18" s="590"/>
      <c r="L18" s="590"/>
      <c r="M18" s="601"/>
      <c r="N18" s="601"/>
      <c r="O18" s="590"/>
      <c r="P18" s="590"/>
      <c r="Q18" s="590"/>
      <c r="R18" s="590"/>
      <c r="S18" s="590"/>
      <c r="T18" s="590"/>
      <c r="U18" s="601"/>
      <c r="V18" s="601"/>
      <c r="W18" s="1243"/>
      <c r="X18" s="1243"/>
      <c r="Y18" s="1299"/>
      <c r="Z18" s="1299"/>
    </row>
    <row r="19" spans="1:26" ht="13" x14ac:dyDescent="0.2">
      <c r="A19" t="str">
        <f>'（詳細設定）地域内経済効果の按分比率'!A19</f>
        <v>食料品製造業</v>
      </c>
      <c r="B19" s="589">
        <f t="shared" ref="B19:B27" si="19">MAX($K19-O19-P19-M19,0)</f>
        <v>7.5432005555976095E-2</v>
      </c>
      <c r="C19" s="589">
        <f t="shared" ref="C19:C27" si="20">MAX($L19-Q19-R19-N19,0)</f>
        <v>3.0824597165248154E-2</v>
      </c>
      <c r="D19" s="589">
        <f t="shared" si="17"/>
        <v>1.0698499939299682E-2</v>
      </c>
      <c r="E19" s="589">
        <f t="shared" si="17"/>
        <v>4.9182182025536529E-3</v>
      </c>
      <c r="F19" s="589">
        <f t="shared" si="8"/>
        <v>8.6115807863201305E-2</v>
      </c>
      <c r="G19" s="589">
        <f t="shared" si="9"/>
        <v>7.3032018052384601E-2</v>
      </c>
      <c r="H19" s="589">
        <f t="shared" si="18"/>
        <v>1.7209505993133339E-2</v>
      </c>
      <c r="I19" s="589">
        <f t="shared" si="18"/>
        <v>6.1953486485218333E-3</v>
      </c>
      <c r="J19" s="589">
        <f t="shared" si="2"/>
        <v>0.30442600142031867</v>
      </c>
      <c r="K19" s="590">
        <f>VLOOKUP($A19,'（詳細設定）地域内経済効果の按分比率'!$A$19:$C$47,2,FALSE)</f>
        <v>0.10813308614487885</v>
      </c>
      <c r="L19" s="590">
        <f>VLOOKUP($A19,'（詳細設定）地域内経済効果の按分比率'!$A$19:$C$47,3,FALSE)</f>
        <v>4.1608061114322949E-2</v>
      </c>
      <c r="M19" s="601">
        <f t="shared" ref="M19:M27" si="21">K19*$M$3</f>
        <v>2.162661722897577E-2</v>
      </c>
      <c r="N19" s="601">
        <f t="shared" ref="N19:N27" si="22">L19*$N$3</f>
        <v>6.241209167148442E-3</v>
      </c>
      <c r="O19" s="1243">
        <f t="shared" ref="O19:O27" si="23">IF(K19&gt;0,K19*$D$58*(1+$D$56),0)</f>
        <v>6.6291346894906348E-3</v>
      </c>
      <c r="P19" s="1243">
        <f t="shared" ref="P19:P27" si="24">IF(K19&gt;0,K19*$D$59*(1+$D$57),0)</f>
        <v>4.4453286704363498E-3</v>
      </c>
      <c r="Q19" s="1299">
        <f t="shared" ref="Q19:Q27" si="25">IF(L19&gt;0,L19*$D$54*$D$60*(1+$D$62)+L19*$D$68*(1+$D$69),0)</f>
        <v>4.0693652498090468E-3</v>
      </c>
      <c r="R19" s="1299">
        <f t="shared" si="13"/>
        <v>4.7288953211730285E-4</v>
      </c>
      <c r="S19" s="590">
        <v>0.12344850175297561</v>
      </c>
      <c r="T19" s="590">
        <v>9.8581034299835973E-2</v>
      </c>
      <c r="U19" s="601">
        <f t="shared" ref="U19:U27" si="26">S19*$M$3</f>
        <v>2.4689700350595124E-2</v>
      </c>
      <c r="V19" s="601">
        <f t="shared" ref="V19:V27" si="27">T19*$N$3</f>
        <v>1.4787155144975396E-2</v>
      </c>
      <c r="W19" s="1243">
        <f t="shared" ref="W19:W27" si="28">IF(S19&gt;0,S19*$D$58*(1+$D$56),0)</f>
        <v>7.5680513200173122E-3</v>
      </c>
      <c r="X19" s="1243">
        <f t="shared" ref="X19:X27" si="29">IF(S19&gt;0,S19*$D$59*(1+$D$57),0)</f>
        <v>5.074942219161882E-3</v>
      </c>
      <c r="Y19" s="1299">
        <f t="shared" ref="Y19:Y27" si="30">IF(T19&gt;0,T19*$D$54*$D$60*(1+$D$62)+T19*$D$68*(1+$D$69),0)</f>
        <v>9.6414546731160254E-3</v>
      </c>
      <c r="Z19" s="1299">
        <f>IF(T19&gt;0,T19*$D$54*$D$61*(1+$D$63),0)</f>
        <v>1.1204064293599515E-3</v>
      </c>
    </row>
    <row r="20" spans="1:26" ht="13" x14ac:dyDescent="0.2">
      <c r="A20" t="str">
        <f>'（詳細設定）地域内経済効果の按分比率'!A20</f>
        <v>繊維工業</v>
      </c>
      <c r="B20" s="589">
        <f t="shared" si="19"/>
        <v>0.11371155412655845</v>
      </c>
      <c r="C20" s="589">
        <f t="shared" si="20"/>
        <v>2.2856336121310748E-2</v>
      </c>
      <c r="D20" s="589">
        <f t="shared" si="17"/>
        <v>1.3010648486531429E-2</v>
      </c>
      <c r="E20" s="589">
        <f t="shared" si="17"/>
        <v>7.0518496729472637E-3</v>
      </c>
      <c r="F20" s="589">
        <f t="shared" si="8"/>
        <v>7.0225260965554967E-2</v>
      </c>
      <c r="G20" s="589">
        <f t="shared" si="9"/>
        <v>5.3863946408093333E-2</v>
      </c>
      <c r="H20" s="589">
        <f t="shared" si="18"/>
        <v>1.3282501075214991E-2</v>
      </c>
      <c r="I20" s="589">
        <f t="shared" si="18"/>
        <v>4.9648300934169451E-3</v>
      </c>
      <c r="J20" s="589">
        <f t="shared" si="2"/>
        <v>0.29896692694962818</v>
      </c>
      <c r="K20" s="590">
        <f>VLOOKUP($A20,'（詳細設定）地域内経済効果の按分比率'!$A$19:$C$47,2,FALSE)</f>
        <v>0.16300748186935951</v>
      </c>
      <c r="L20" s="590">
        <f>VLOOKUP($A20,'（詳細設定）地域内経済効果の按分比率'!$A$19:$C$47,3,FALSE)</f>
        <v>3.0852238719835626E-2</v>
      </c>
      <c r="M20" s="601">
        <f t="shared" si="21"/>
        <v>3.2601496373871906E-2</v>
      </c>
      <c r="N20" s="601">
        <f t="shared" si="22"/>
        <v>4.627835807975344E-3</v>
      </c>
      <c r="O20" s="1243">
        <f t="shared" si="23"/>
        <v>9.9932277088520313E-3</v>
      </c>
      <c r="P20" s="1243">
        <f t="shared" si="24"/>
        <v>6.7012036600771251E-3</v>
      </c>
      <c r="Q20" s="1299">
        <f t="shared" si="25"/>
        <v>3.0174207776793973E-3</v>
      </c>
      <c r="R20" s="1299">
        <f t="shared" si="13"/>
        <v>3.506460128701388E-4</v>
      </c>
      <c r="S20" s="590">
        <v>0.1006691276145361</v>
      </c>
      <c r="T20" s="590">
        <v>7.2707337000766301E-2</v>
      </c>
      <c r="U20" s="601">
        <f t="shared" si="26"/>
        <v>2.0133825522907222E-2</v>
      </c>
      <c r="V20" s="601">
        <f t="shared" si="27"/>
        <v>1.0906100550114945E-2</v>
      </c>
      <c r="W20" s="1243">
        <f t="shared" si="28"/>
        <v>6.1715542376747966E-3</v>
      </c>
      <c r="X20" s="1243">
        <f t="shared" si="29"/>
        <v>4.1384868883991132E-3</v>
      </c>
      <c r="Y20" s="1299">
        <f t="shared" si="30"/>
        <v>7.1109468375401942E-3</v>
      </c>
      <c r="Z20" s="1299">
        <f t="shared" ref="Z20:Z27" si="31">IF(T20&gt;0,T20*$D$54*$D$61*(1+$D$63),0)</f>
        <v>8.263432050178317E-4</v>
      </c>
    </row>
    <row r="21" spans="1:26" ht="13" x14ac:dyDescent="0.2">
      <c r="A21" t="str">
        <f>'（詳細設定）地域内経済効果の按分比率'!A21</f>
        <v>木材・木製品製造業</v>
      </c>
      <c r="B21" s="589">
        <f t="shared" si="19"/>
        <v>8.847880364724782E-2</v>
      </c>
      <c r="C21" s="589">
        <f t="shared" si="20"/>
        <v>2.2255942349392748E-2</v>
      </c>
      <c r="D21" s="589">
        <f t="shared" si="17"/>
        <v>1.0713875418313399E-2</v>
      </c>
      <c r="E21" s="589">
        <f t="shared" si="17"/>
        <v>5.5556325272973512E-3</v>
      </c>
      <c r="F21" s="589">
        <f t="shared" si="8"/>
        <v>5.8246400068809323E-2</v>
      </c>
      <c r="G21" s="589">
        <f t="shared" si="9"/>
        <v>4.4223366961432135E-2</v>
      </c>
      <c r="H21" s="589">
        <f t="shared" si="18"/>
        <v>1.0957053149275047E-2</v>
      </c>
      <c r="I21" s="589">
        <f t="shared" si="18"/>
        <v>4.110997606640663E-3</v>
      </c>
      <c r="J21" s="589">
        <f t="shared" si="2"/>
        <v>0.2445420717284085</v>
      </c>
      <c r="K21" s="590">
        <f>VLOOKUP($A21,'（詳細設定）地域内経済効果の按分比率'!$A$19:$C$47,2,FALSE)</f>
        <v>0.12683589712703439</v>
      </c>
      <c r="L21" s="590">
        <f>VLOOKUP($A21,'（詳細設定）地域内経済効果の按分比率'!$A$19:$C$47,3,FALSE)</f>
        <v>3.0041807341910372E-2</v>
      </c>
      <c r="M21" s="601">
        <f t="shared" si="21"/>
        <v>2.536717942540688E-2</v>
      </c>
      <c r="N21" s="601">
        <f t="shared" si="22"/>
        <v>4.5062711012865556E-3</v>
      </c>
      <c r="O21" s="1243">
        <f t="shared" si="23"/>
        <v>7.7757167162597418E-3</v>
      </c>
      <c r="P21" s="1243">
        <f t="shared" si="24"/>
        <v>5.2141973381199394E-3</v>
      </c>
      <c r="Q21" s="1299">
        <f t="shared" si="25"/>
        <v>2.9381587020536567E-3</v>
      </c>
      <c r="R21" s="1299">
        <f t="shared" si="13"/>
        <v>3.4143518917741138E-4</v>
      </c>
      <c r="S21" s="590">
        <v>8.3497223093131012E-2</v>
      </c>
      <c r="T21" s="590">
        <v>5.9694163896061581E-2</v>
      </c>
      <c r="U21" s="601">
        <f t="shared" si="26"/>
        <v>1.6699444618626203E-2</v>
      </c>
      <c r="V21" s="601">
        <f t="shared" si="27"/>
        <v>8.9541245844092371E-3</v>
      </c>
      <c r="W21" s="1243">
        <f t="shared" si="28"/>
        <v>5.1188249389387055E-3</v>
      </c>
      <c r="X21" s="1243">
        <f t="shared" si="29"/>
        <v>3.4325534667567974E-3</v>
      </c>
      <c r="Y21" s="1299">
        <f t="shared" si="30"/>
        <v>5.8382282103363412E-3</v>
      </c>
      <c r="Z21" s="1299">
        <f t="shared" si="31"/>
        <v>6.7844413988386583E-4</v>
      </c>
    </row>
    <row r="22" spans="1:26" ht="13" x14ac:dyDescent="0.2">
      <c r="A22" t="str">
        <f>'（詳細設定）地域内経済効果の按分比率'!A22</f>
        <v>パルプ・紙・紙加工品製造業</v>
      </c>
      <c r="B22" s="589">
        <f t="shared" si="19"/>
        <v>7.7212512184166818E-2</v>
      </c>
      <c r="C22" s="589">
        <f t="shared" si="20"/>
        <v>1.7885530757044455E-2</v>
      </c>
      <c r="D22" s="589">
        <f t="shared" si="17"/>
        <v>9.146800493675002E-3</v>
      </c>
      <c r="E22" s="589">
        <f t="shared" si="17"/>
        <v>4.8246441463116714E-3</v>
      </c>
      <c r="F22" s="589">
        <f t="shared" si="8"/>
        <v>7.7726096510871576E-2</v>
      </c>
      <c r="G22" s="589">
        <f t="shared" si="9"/>
        <v>5.7969691462647452E-2</v>
      </c>
      <c r="H22" s="589">
        <f t="shared" si="18"/>
        <v>1.4483718811302126E-2</v>
      </c>
      <c r="I22" s="589">
        <f t="shared" si="18"/>
        <v>5.469853807884676E-3</v>
      </c>
      <c r="J22" s="589">
        <f t="shared" si="2"/>
        <v>0.26471884817390379</v>
      </c>
      <c r="K22" s="590">
        <f>VLOOKUP($A22,'（詳細設定）地域内経済効果の按分比率'!$A$19:$C$47,2,FALSE)</f>
        <v>0.1106854732276378</v>
      </c>
      <c r="L22" s="590">
        <f>VLOOKUP($A22,'（詳細設定）地域内経済効果の按分比率'!$A$19:$C$47,3,FALSE)</f>
        <v>2.4142481175397298E-2</v>
      </c>
      <c r="M22" s="601">
        <f t="shared" si="21"/>
        <v>2.2137094645527561E-2</v>
      </c>
      <c r="N22" s="601">
        <f t="shared" si="22"/>
        <v>3.6213721763095944E-3</v>
      </c>
      <c r="O22" s="1243">
        <f t="shared" si="23"/>
        <v>6.7856096256508338E-3</v>
      </c>
      <c r="P22" s="1243">
        <f t="shared" si="24"/>
        <v>4.5502567722925926E-3</v>
      </c>
      <c r="Q22" s="1299">
        <f t="shared" si="25"/>
        <v>2.3611908680241682E-3</v>
      </c>
      <c r="R22" s="1299">
        <f t="shared" si="13"/>
        <v>2.743873740190788E-4</v>
      </c>
      <c r="S22" s="590">
        <v>0.11142170525319377</v>
      </c>
      <c r="T22" s="590">
        <v>7.8249407517824471E-2</v>
      </c>
      <c r="U22" s="601">
        <f t="shared" si="26"/>
        <v>2.2284341050638756E-2</v>
      </c>
      <c r="V22" s="601">
        <f t="shared" si="27"/>
        <v>1.173741112767367E-2</v>
      </c>
      <c r="W22" s="1243">
        <f t="shared" si="28"/>
        <v>6.8307445740198088E-3</v>
      </c>
      <c r="X22" s="1243">
        <f t="shared" si="29"/>
        <v>4.5805231176636327E-3</v>
      </c>
      <c r="Y22" s="1299">
        <f t="shared" si="30"/>
        <v>7.6529742372823161E-3</v>
      </c>
      <c r="Z22" s="1299">
        <f t="shared" si="31"/>
        <v>8.8933069022104311E-4</v>
      </c>
    </row>
    <row r="23" spans="1:26" ht="13" x14ac:dyDescent="0.2">
      <c r="A23" t="str">
        <f>'（詳細設定）地域内経済効果の按分比率'!A23</f>
        <v>印刷・同関連業</v>
      </c>
      <c r="B23" s="589">
        <f t="shared" si="19"/>
        <v>6.9758487661131574E-2</v>
      </c>
      <c r="C23" s="589">
        <f t="shared" si="20"/>
        <v>7.408323372856529E-2</v>
      </c>
      <c r="D23" s="589">
        <f t="shared" si="17"/>
        <v>1.5910765969726889E-2</v>
      </c>
      <c r="E23" s="589">
        <f t="shared" si="17"/>
        <v>5.2475126405762433E-3</v>
      </c>
      <c r="F23" s="589">
        <f t="shared" si="8"/>
        <v>8.34442512554711E-2</v>
      </c>
      <c r="G23" s="589">
        <f t="shared" si="9"/>
        <v>6.5227954038739516E-2</v>
      </c>
      <c r="H23" s="589">
        <f t="shared" si="18"/>
        <v>1.5944455873557348E-2</v>
      </c>
      <c r="I23" s="589">
        <f t="shared" si="18"/>
        <v>5.9181850243667468E-3</v>
      </c>
      <c r="J23" s="589">
        <f t="shared" si="2"/>
        <v>0.33553484619213469</v>
      </c>
      <c r="K23" s="590">
        <f>VLOOKUP($A23,'（詳細設定）地域内経済効果の按分比率'!$A$19:$C$47,2,FALSE)</f>
        <v>0.1</v>
      </c>
      <c r="L23" s="590">
        <f>VLOOKUP($A23,'（詳細設定）地域内経済効果の按分比率'!$A$19:$C$47,3,FALSE)</f>
        <v>0.1</v>
      </c>
      <c r="M23" s="601">
        <f t="shared" si="21"/>
        <v>2.0000000000000004E-2</v>
      </c>
      <c r="N23" s="601">
        <f t="shared" si="22"/>
        <v>1.4999999999999999E-2</v>
      </c>
      <c r="O23" s="1243">
        <f t="shared" si="23"/>
        <v>6.1305331474668075E-3</v>
      </c>
      <c r="P23" s="1243">
        <f t="shared" si="24"/>
        <v>4.1109791914016123E-3</v>
      </c>
      <c r="Q23" s="1299">
        <f t="shared" si="25"/>
        <v>9.780232822260081E-3</v>
      </c>
      <c r="R23" s="1299">
        <f t="shared" si="13"/>
        <v>1.1365334491746308E-3</v>
      </c>
      <c r="S23" s="590">
        <v>0.11961877909512798</v>
      </c>
      <c r="T23" s="590">
        <v>8.8046850489449782E-2</v>
      </c>
      <c r="U23" s="601">
        <f t="shared" si="26"/>
        <v>2.3923755819025599E-2</v>
      </c>
      <c r="V23" s="601">
        <f t="shared" si="27"/>
        <v>1.3207027573417468E-2</v>
      </c>
      <c r="W23" s="1243">
        <f t="shared" si="28"/>
        <v>7.3332689030219163E-3</v>
      </c>
      <c r="X23" s="1243">
        <f t="shared" si="29"/>
        <v>4.9175031176093729E-3</v>
      </c>
      <c r="Y23" s="1299">
        <f t="shared" si="30"/>
        <v>8.6111869705354296E-3</v>
      </c>
      <c r="Z23" s="1299">
        <f t="shared" si="31"/>
        <v>1.0006819067573738E-3</v>
      </c>
    </row>
    <row r="24" spans="1:26" ht="13" x14ac:dyDescent="0.2">
      <c r="A24" t="str">
        <f>'（詳細設定）地域内経済効果の按分比率'!A24</f>
        <v>追加する場合はこちらに入力　O&amp;M（燃料）①</v>
      </c>
      <c r="B24" s="589">
        <f t="shared" si="19"/>
        <v>6.9758487661131574E-2</v>
      </c>
      <c r="C24" s="589">
        <f t="shared" si="20"/>
        <v>7.408323372856529E-2</v>
      </c>
      <c r="D24" s="589">
        <f t="shared" si="17"/>
        <v>1.5910765969726889E-2</v>
      </c>
      <c r="E24" s="589">
        <f t="shared" si="17"/>
        <v>5.2475126405762433E-3</v>
      </c>
      <c r="F24" s="589">
        <f t="shared" si="8"/>
        <v>6.2832440171653681E-2</v>
      </c>
      <c r="G24" s="589">
        <f t="shared" si="9"/>
        <v>6.2683204820482591E-2</v>
      </c>
      <c r="H24" s="589">
        <f t="shared" si="18"/>
        <v>1.3797093755993237E-2</v>
      </c>
      <c r="I24" s="589">
        <f t="shared" si="18"/>
        <v>4.6644582751525689E-3</v>
      </c>
      <c r="J24" s="589">
        <f t="shared" si="2"/>
        <v>0.30897719702328208</v>
      </c>
      <c r="K24" s="590">
        <f>VLOOKUP($A24,'（詳細設定）地域内経済効果の按分比率'!$A$19:$C$47,2,FALSE)</f>
        <v>0.1</v>
      </c>
      <c r="L24" s="590">
        <f>VLOOKUP($A24,'（詳細設定）地域内経済効果の按分比率'!$A$19:$C$47,3,FALSE)</f>
        <v>0.1</v>
      </c>
      <c r="M24" s="601">
        <f t="shared" si="21"/>
        <v>2.0000000000000004E-2</v>
      </c>
      <c r="N24" s="601">
        <f t="shared" si="22"/>
        <v>1.4999999999999999E-2</v>
      </c>
      <c r="O24" s="1243">
        <f t="shared" si="23"/>
        <v>6.1305331474668075E-3</v>
      </c>
      <c r="P24" s="1243">
        <f t="shared" si="24"/>
        <v>4.1109791914016123E-3</v>
      </c>
      <c r="Q24" s="1299">
        <f t="shared" si="25"/>
        <v>9.780232822260081E-3</v>
      </c>
      <c r="R24" s="1299">
        <f>IF(L24&gt;0,L24*$D$54*$D$61*(1+$D$63),0)</f>
        <v>1.1365334491746308E-3</v>
      </c>
      <c r="S24" s="590">
        <v>9.0071390992415387E-2</v>
      </c>
      <c r="T24" s="590">
        <v>8.4611863799235007E-2</v>
      </c>
      <c r="U24" s="601">
        <f t="shared" si="26"/>
        <v>1.8014278198483079E-2</v>
      </c>
      <c r="V24" s="601">
        <f t="shared" si="27"/>
        <v>1.269177956988525E-2</v>
      </c>
      <c r="W24" s="1243">
        <f t="shared" si="28"/>
        <v>5.5218564811744574E-3</v>
      </c>
      <c r="X24" s="1243">
        <f t="shared" si="29"/>
        <v>3.7028161411041829E-3</v>
      </c>
      <c r="Y24" s="1299">
        <f t="shared" si="30"/>
        <v>8.2752372748187784E-3</v>
      </c>
      <c r="Z24" s="1299">
        <f t="shared" si="31"/>
        <v>9.6164213404838629E-4</v>
      </c>
    </row>
    <row r="25" spans="1:26" ht="13" x14ac:dyDescent="0.2">
      <c r="A25" t="str">
        <f>'（詳細設定）地域内経済効果の按分比率'!A25</f>
        <v>追加する場合はこちらに入力　O&amp;M（燃料）②</v>
      </c>
      <c r="B25" s="589">
        <f t="shared" si="19"/>
        <v>6.9758487661131574E-2</v>
      </c>
      <c r="C25" s="589">
        <f t="shared" si="20"/>
        <v>7.408323372856529E-2</v>
      </c>
      <c r="D25" s="589">
        <f t="shared" si="17"/>
        <v>1.5910765969726889E-2</v>
      </c>
      <c r="E25" s="589">
        <f t="shared" si="17"/>
        <v>5.2475126405762433E-3</v>
      </c>
      <c r="F25" s="589">
        <f t="shared" si="8"/>
        <v>6.2832440171653681E-2</v>
      </c>
      <c r="G25" s="589">
        <f t="shared" si="9"/>
        <v>6.2683204820482591E-2</v>
      </c>
      <c r="H25" s="589">
        <f t="shared" si="18"/>
        <v>1.3797093755993237E-2</v>
      </c>
      <c r="I25" s="589">
        <f t="shared" si="18"/>
        <v>4.6644582751525689E-3</v>
      </c>
      <c r="J25" s="589">
        <f t="shared" ref="J25:J27" si="32">SUM(B25:I25)</f>
        <v>0.30897719702328208</v>
      </c>
      <c r="K25" s="590">
        <f>VLOOKUP($A25,'（詳細設定）地域内経済効果の按分比率'!$A$19:$C$47,2,FALSE)</f>
        <v>0.1</v>
      </c>
      <c r="L25" s="590">
        <f>VLOOKUP($A25,'（詳細設定）地域内経済効果の按分比率'!$A$19:$C$47,3,FALSE)</f>
        <v>0.1</v>
      </c>
      <c r="M25" s="601">
        <f t="shared" si="21"/>
        <v>2.0000000000000004E-2</v>
      </c>
      <c r="N25" s="601">
        <f t="shared" si="22"/>
        <v>1.4999999999999999E-2</v>
      </c>
      <c r="O25" s="1243">
        <f t="shared" si="23"/>
        <v>6.1305331474668075E-3</v>
      </c>
      <c r="P25" s="1243">
        <f t="shared" si="24"/>
        <v>4.1109791914016123E-3</v>
      </c>
      <c r="Q25" s="1299">
        <f t="shared" si="25"/>
        <v>9.780232822260081E-3</v>
      </c>
      <c r="R25" s="1299">
        <f t="shared" si="13"/>
        <v>1.1365334491746308E-3</v>
      </c>
      <c r="S25" s="590">
        <v>9.0071390992415387E-2</v>
      </c>
      <c r="T25" s="590">
        <v>8.4611863799235007E-2</v>
      </c>
      <c r="U25" s="601">
        <f t="shared" si="26"/>
        <v>1.8014278198483079E-2</v>
      </c>
      <c r="V25" s="601">
        <f t="shared" si="27"/>
        <v>1.269177956988525E-2</v>
      </c>
      <c r="W25" s="1243">
        <f t="shared" si="28"/>
        <v>5.5218564811744574E-3</v>
      </c>
      <c r="X25" s="1243">
        <f t="shared" si="29"/>
        <v>3.7028161411041829E-3</v>
      </c>
      <c r="Y25" s="1299">
        <f t="shared" si="30"/>
        <v>8.2752372748187784E-3</v>
      </c>
      <c r="Z25" s="1299">
        <f t="shared" si="31"/>
        <v>9.6164213404838629E-4</v>
      </c>
    </row>
    <row r="26" spans="1:26" ht="13" x14ac:dyDescent="0.2">
      <c r="A26" t="str">
        <f>'（詳細設定）地域内経済効果の按分比率'!A26</f>
        <v>追加する場合はこちらに入力　O&amp;M（燃料）③</v>
      </c>
      <c r="B26" s="589">
        <f t="shared" si="19"/>
        <v>6.9758487661131574E-2</v>
      </c>
      <c r="C26" s="589">
        <f t="shared" si="20"/>
        <v>7.408323372856529E-2</v>
      </c>
      <c r="D26" s="589">
        <f t="shared" si="17"/>
        <v>1.5910765969726889E-2</v>
      </c>
      <c r="E26" s="589">
        <f t="shared" si="17"/>
        <v>5.2475126405762433E-3</v>
      </c>
      <c r="F26" s="589">
        <f t="shared" si="8"/>
        <v>7.7726096510871576E-2</v>
      </c>
      <c r="G26" s="589">
        <f t="shared" si="9"/>
        <v>5.7969691462647452E-2</v>
      </c>
      <c r="H26" s="589">
        <f t="shared" si="18"/>
        <v>1.4483718811302126E-2</v>
      </c>
      <c r="I26" s="589">
        <f t="shared" si="18"/>
        <v>5.469853807884676E-3</v>
      </c>
      <c r="J26" s="589">
        <f t="shared" si="32"/>
        <v>0.32064936059270582</v>
      </c>
      <c r="K26" s="590">
        <f>VLOOKUP($A26,'（詳細設定）地域内経済効果の按分比率'!$A$19:$C$47,2,FALSE)</f>
        <v>0.1</v>
      </c>
      <c r="L26" s="590">
        <f>VLOOKUP($A26,'（詳細設定）地域内経済効果の按分比率'!$A$19:$C$47,3,FALSE)</f>
        <v>0.1</v>
      </c>
      <c r="M26" s="601">
        <f t="shared" si="21"/>
        <v>2.0000000000000004E-2</v>
      </c>
      <c r="N26" s="601">
        <f t="shared" si="22"/>
        <v>1.4999999999999999E-2</v>
      </c>
      <c r="O26" s="1243">
        <f t="shared" si="23"/>
        <v>6.1305331474668075E-3</v>
      </c>
      <c r="P26" s="1243">
        <f t="shared" si="24"/>
        <v>4.1109791914016123E-3</v>
      </c>
      <c r="Q26" s="1299">
        <f t="shared" si="25"/>
        <v>9.780232822260081E-3</v>
      </c>
      <c r="R26" s="1299">
        <f t="shared" si="13"/>
        <v>1.1365334491746308E-3</v>
      </c>
      <c r="S26" s="590">
        <v>0.11142170525319377</v>
      </c>
      <c r="T26" s="590">
        <v>7.8249407517824471E-2</v>
      </c>
      <c r="U26" s="601">
        <f t="shared" si="26"/>
        <v>2.2284341050638756E-2</v>
      </c>
      <c r="V26" s="601">
        <f t="shared" si="27"/>
        <v>1.173741112767367E-2</v>
      </c>
      <c r="W26" s="1243">
        <f t="shared" si="28"/>
        <v>6.8307445740198088E-3</v>
      </c>
      <c r="X26" s="1243">
        <f t="shared" si="29"/>
        <v>4.5805231176636327E-3</v>
      </c>
      <c r="Y26" s="1299">
        <f t="shared" si="30"/>
        <v>7.6529742372823161E-3</v>
      </c>
      <c r="Z26" s="1299">
        <f t="shared" si="31"/>
        <v>8.8933069022104311E-4</v>
      </c>
    </row>
    <row r="27" spans="1:26" ht="13" x14ac:dyDescent="0.2">
      <c r="A27" t="str">
        <f>'（詳細設定）地域内経済効果の按分比率'!A27</f>
        <v>追加する場合はこちらに入力　O&amp;M（燃料）④</v>
      </c>
      <c r="B27" s="589">
        <f t="shared" si="19"/>
        <v>6.9758487661131574E-2</v>
      </c>
      <c r="C27" s="589">
        <f t="shared" si="20"/>
        <v>7.408323372856529E-2</v>
      </c>
      <c r="D27" s="589">
        <f t="shared" si="17"/>
        <v>1.5910765969726889E-2</v>
      </c>
      <c r="E27" s="589">
        <f t="shared" si="17"/>
        <v>5.2475126405762433E-3</v>
      </c>
      <c r="F27" s="589">
        <f t="shared" si="8"/>
        <v>8.34442512554711E-2</v>
      </c>
      <c r="G27" s="589">
        <f t="shared" si="9"/>
        <v>6.5227954038739516E-2</v>
      </c>
      <c r="H27" s="589">
        <f t="shared" si="18"/>
        <v>1.5944455873557348E-2</v>
      </c>
      <c r="I27" s="589">
        <f t="shared" si="18"/>
        <v>5.9181850243667468E-3</v>
      </c>
      <c r="J27" s="589">
        <f t="shared" si="32"/>
        <v>0.33553484619213469</v>
      </c>
      <c r="K27" s="590">
        <f>VLOOKUP($A27,'（詳細設定）地域内経済効果の按分比率'!$A$19:$C$47,2,FALSE)</f>
        <v>0.1</v>
      </c>
      <c r="L27" s="590">
        <f>VLOOKUP($A27,'（詳細設定）地域内経済効果の按分比率'!$A$19:$C$47,3,FALSE)</f>
        <v>0.1</v>
      </c>
      <c r="M27" s="601">
        <f t="shared" si="21"/>
        <v>2.0000000000000004E-2</v>
      </c>
      <c r="N27" s="601">
        <f t="shared" si="22"/>
        <v>1.4999999999999999E-2</v>
      </c>
      <c r="O27" s="1243">
        <f t="shared" si="23"/>
        <v>6.1305331474668075E-3</v>
      </c>
      <c r="P27" s="1243">
        <f t="shared" si="24"/>
        <v>4.1109791914016123E-3</v>
      </c>
      <c r="Q27" s="1299">
        <f t="shared" si="25"/>
        <v>9.780232822260081E-3</v>
      </c>
      <c r="R27" s="1299">
        <f t="shared" si="13"/>
        <v>1.1365334491746308E-3</v>
      </c>
      <c r="S27" s="590">
        <v>0.11961877909512798</v>
      </c>
      <c r="T27" s="590">
        <v>8.8046850489449782E-2</v>
      </c>
      <c r="U27" s="601">
        <f t="shared" si="26"/>
        <v>2.3923755819025599E-2</v>
      </c>
      <c r="V27" s="601">
        <f t="shared" si="27"/>
        <v>1.3207027573417468E-2</v>
      </c>
      <c r="W27" s="1243">
        <f t="shared" si="28"/>
        <v>7.3332689030219163E-3</v>
      </c>
      <c r="X27" s="1243">
        <f t="shared" si="29"/>
        <v>4.9175031176093729E-3</v>
      </c>
      <c r="Y27" s="1299">
        <f t="shared" si="30"/>
        <v>8.6111869705354296E-3</v>
      </c>
      <c r="Z27" s="1299">
        <f t="shared" si="31"/>
        <v>1.0006819067573738E-3</v>
      </c>
    </row>
    <row r="28" spans="1:26" ht="13" x14ac:dyDescent="0.2">
      <c r="A28" t="s">
        <v>817</v>
      </c>
      <c r="B28" s="589"/>
      <c r="C28" s="589"/>
      <c r="D28" s="589"/>
      <c r="E28" s="589"/>
      <c r="F28" s="589"/>
      <c r="G28" s="589"/>
      <c r="H28" s="589"/>
      <c r="I28" s="589"/>
      <c r="J28" s="589"/>
      <c r="K28" s="590"/>
      <c r="L28" s="590"/>
      <c r="M28" s="601"/>
      <c r="N28" s="601"/>
      <c r="O28" s="590"/>
      <c r="P28" s="590"/>
      <c r="Q28" s="590"/>
      <c r="R28" s="590"/>
      <c r="S28" s="590"/>
      <c r="T28" s="590"/>
      <c r="U28" s="601"/>
      <c r="V28" s="601"/>
      <c r="W28" s="1243"/>
      <c r="X28" s="1243"/>
      <c r="Y28" s="1299"/>
      <c r="Z28" s="1299"/>
    </row>
    <row r="29" spans="1:26" ht="13" x14ac:dyDescent="0.2">
      <c r="A29" t="str">
        <f>'（詳細設定）地域内経済効果の按分比率'!A29</f>
        <v>化学工業</v>
      </c>
      <c r="B29" s="589">
        <f t="shared" ref="B29:B45" si="33">MAX($K29-O29-P29-M29,0)</f>
        <v>7.1219860032181365E-2</v>
      </c>
      <c r="C29" s="589">
        <f t="shared" ref="C29:C45" si="34">MAX($L29-Q29-R29-N29,0)</f>
        <v>7.103215965357032E-2</v>
      </c>
      <c r="D29" s="589">
        <f t="shared" si="17"/>
        <v>1.5636401575527887E-2</v>
      </c>
      <c r="E29" s="589">
        <f t="shared" si="17"/>
        <v>5.286826193974907E-3</v>
      </c>
      <c r="F29" s="589">
        <f t="shared" si="8"/>
        <v>7.9312124173755702E-2</v>
      </c>
      <c r="G29" s="589">
        <f t="shared" si="9"/>
        <v>6.6999324163332971E-2</v>
      </c>
      <c r="H29" s="589">
        <f t="shared" si="18"/>
        <v>1.5815165879107633E-2</v>
      </c>
      <c r="I29" s="589">
        <f t="shared" si="18"/>
        <v>5.7018472984805089E-3</v>
      </c>
      <c r="J29" s="589">
        <f t="shared" si="2"/>
        <v>0.33100370896993131</v>
      </c>
      <c r="K29" s="590">
        <f>VLOOKUP($A29,'（詳細設定）地域内経済効果の按分比率'!$A$19:$C$47,2,FALSE)</f>
        <v>0.10209490259901956</v>
      </c>
      <c r="L29" s="590">
        <f>VLOOKUP($A29,'（詳細設定）地域内経済効果の按分比率'!$A$19:$C$47,3,FALSE)</f>
        <v>9.5881559265928021E-2</v>
      </c>
      <c r="M29" s="601">
        <f t="shared" ref="M29:M45" si="35">K29*$M$3</f>
        <v>2.0418980519803911E-2</v>
      </c>
      <c r="N29" s="601">
        <f t="shared" ref="N29:N45" si="36">L29*$N$3</f>
        <v>1.4382233889889202E-2</v>
      </c>
      <c r="O29" s="1243">
        <f t="shared" ref="O29:O45" si="37">IF(K29&gt;0,K29*$D$58*(1+$D$56),0)</f>
        <v>6.2589618457068443E-3</v>
      </c>
      <c r="P29" s="1243">
        <f t="shared" ref="P29:P45" si="38">IF(K29&gt;0,K29*$D$59*(1+$D$57),0)</f>
        <v>4.1971002013274378E-3</v>
      </c>
      <c r="Q29" s="1299">
        <f t="shared" ref="Q29:Q45" si="39">IF(L29&gt;0,L29*$D$54*$D$60*(1+$D$62)+L29*$D$68*(1+$D$69),0)</f>
        <v>9.3774397298210434E-3</v>
      </c>
      <c r="R29" s="1299">
        <f t="shared" si="13"/>
        <v>1.0897259926474694E-3</v>
      </c>
      <c r="S29" s="590">
        <v>0.11369530337158854</v>
      </c>
      <c r="T29" s="590">
        <v>9.0437904491065882E-2</v>
      </c>
      <c r="U29" s="601">
        <f t="shared" ref="U29:U45" si="40">S29*$M$3</f>
        <v>2.2739060674317708E-2</v>
      </c>
      <c r="V29" s="601">
        <f t="shared" ref="V29:V45" si="41">T29*$N$3</f>
        <v>1.3565685673659882E-2</v>
      </c>
      <c r="W29" s="1243">
        <f t="shared" ref="W29:W45" si="42">IF(S29&gt;0,S29*$D$58*(1+$D$56),0)</f>
        <v>6.9701282603081812E-3</v>
      </c>
      <c r="X29" s="1243">
        <f t="shared" ref="X29:X45" si="43">IF(S29&gt;0,S29*$D$59*(1+$D$57),0)</f>
        <v>4.67399026320694E-3</v>
      </c>
      <c r="Y29" s="1299">
        <f t="shared" ref="Y29:Y45" si="44">IF(T29&gt;0,T29*$D$54*$D$60*(1+$D$62)+T29*$D$68*(1+$D$69),0)</f>
        <v>8.845037618799451E-3</v>
      </c>
      <c r="Z29" s="1299">
        <f>IF(T29&gt;0,T29*$D$54*$D$61*(1+$D$63),0)</f>
        <v>1.0278570352735693E-3</v>
      </c>
    </row>
    <row r="30" spans="1:26" ht="13" x14ac:dyDescent="0.2">
      <c r="A30" t="str">
        <f>'（詳細設定）地域内経済効果の按分比率'!A30</f>
        <v>石油製品・石炭製品製造業</v>
      </c>
      <c r="B30" s="589">
        <f t="shared" si="33"/>
        <v>1.1811551408562614E-2</v>
      </c>
      <c r="C30" s="589">
        <f t="shared" si="34"/>
        <v>6.6882912115122164E-3</v>
      </c>
      <c r="D30" s="589">
        <f t="shared" si="17"/>
        <v>1.920992690815949E-3</v>
      </c>
      <c r="E30" s="589">
        <f t="shared" si="17"/>
        <v>7.9868071830757061E-4</v>
      </c>
      <c r="F30" s="589">
        <f t="shared" si="8"/>
        <v>0</v>
      </c>
      <c r="G30" s="589">
        <f t="shared" si="9"/>
        <v>0</v>
      </c>
      <c r="H30" s="589">
        <f t="shared" si="18"/>
        <v>0</v>
      </c>
      <c r="I30" s="589">
        <f t="shared" si="18"/>
        <v>0</v>
      </c>
      <c r="J30" s="589">
        <f t="shared" si="2"/>
        <v>2.1219516029198349E-2</v>
      </c>
      <c r="K30" s="590">
        <f>VLOOKUP($A30,'（詳細設定）地域内経済効果の按分比率'!$A$19:$C$47,2,FALSE)</f>
        <v>1.6932063472964078E-2</v>
      </c>
      <c r="L30" s="590">
        <f>VLOOKUP($A30,'（詳細設定）地域内経済効果の按分比率'!$A$19:$C$47,3,FALSE)</f>
        <v>9.028076765678926E-3</v>
      </c>
      <c r="M30" s="601">
        <f t="shared" si="35"/>
        <v>3.3864126945928157E-3</v>
      </c>
      <c r="N30" s="601">
        <f t="shared" si="36"/>
        <v>1.3542115148518388E-3</v>
      </c>
      <c r="O30" s="1243">
        <f t="shared" si="37"/>
        <v>1.0380257637601822E-3</v>
      </c>
      <c r="P30" s="1243">
        <f t="shared" si="38"/>
        <v>6.9607360604846647E-4</v>
      </c>
      <c r="Q30" s="1299">
        <f t="shared" si="39"/>
        <v>8.8296692705576668E-4</v>
      </c>
      <c r="R30" s="1299">
        <f t="shared" si="13"/>
        <v>1.0260711225910413E-4</v>
      </c>
      <c r="S30" s="590">
        <v>0</v>
      </c>
      <c r="T30" s="590">
        <v>0</v>
      </c>
      <c r="U30" s="601">
        <f t="shared" si="40"/>
        <v>0</v>
      </c>
      <c r="V30" s="601">
        <f t="shared" si="41"/>
        <v>0</v>
      </c>
      <c r="W30" s="1243">
        <f t="shared" si="42"/>
        <v>0</v>
      </c>
      <c r="X30" s="1243">
        <f t="shared" si="43"/>
        <v>0</v>
      </c>
      <c r="Y30" s="1299">
        <f t="shared" si="44"/>
        <v>0</v>
      </c>
      <c r="Z30" s="1299">
        <f t="shared" ref="Z30:Z45" si="45">IF(T30&gt;0,T30*$D$54*$D$61*(1+$D$63),0)</f>
        <v>0</v>
      </c>
    </row>
    <row r="31" spans="1:26" ht="13" x14ac:dyDescent="0.2">
      <c r="A31" t="str">
        <f>'（詳細設定）地域内経済効果の按分比率'!A31</f>
        <v>電気業</v>
      </c>
      <c r="B31" s="589">
        <f t="shared" si="33"/>
        <v>2.9334037090480925E-2</v>
      </c>
      <c r="C31" s="589">
        <f t="shared" si="34"/>
        <v>2.7192008105341177E-2</v>
      </c>
      <c r="D31" s="589">
        <f t="shared" si="17"/>
        <v>6.1677437043752021E-3</v>
      </c>
      <c r="E31" s="589">
        <f t="shared" si="17"/>
        <v>2.1458625752479011E-3</v>
      </c>
      <c r="F31" s="589">
        <f t="shared" si="8"/>
        <v>6.4387960049658147E-2</v>
      </c>
      <c r="G31" s="589">
        <f t="shared" si="9"/>
        <v>5.2450384821748755E-2</v>
      </c>
      <c r="H31" s="589">
        <f t="shared" si="18"/>
        <v>1.2582892008689818E-2</v>
      </c>
      <c r="I31" s="589">
        <f t="shared" si="18"/>
        <v>4.5991427403660684E-3</v>
      </c>
      <c r="J31" s="589">
        <f t="shared" si="2"/>
        <v>0.198860031095908</v>
      </c>
      <c r="K31" s="590">
        <f>VLOOKUP($A31,'（詳細設定）地域内経済効果の按分比率'!$A$19:$C$47,2,FALSE)</f>
        <v>4.2050850117304694E-2</v>
      </c>
      <c r="L31" s="590">
        <f>VLOOKUP($A31,'（詳細設定）地域内経済効果の按分比率'!$A$19:$C$47,3,FALSE)</f>
        <v>3.6704672213648766E-2</v>
      </c>
      <c r="M31" s="601">
        <f t="shared" si="35"/>
        <v>8.4101700234609396E-3</v>
      </c>
      <c r="N31" s="601">
        <f t="shared" si="36"/>
        <v>5.5057008320473144E-3</v>
      </c>
      <c r="O31" s="1243">
        <f t="shared" si="37"/>
        <v>2.577941305232949E-3</v>
      </c>
      <c r="P31" s="1243">
        <f t="shared" si="38"/>
        <v>1.7287016981298764E-3</v>
      </c>
      <c r="Q31" s="1299">
        <f t="shared" si="39"/>
        <v>3.5898023991422527E-3</v>
      </c>
      <c r="R31" s="1299">
        <f t="shared" si="13"/>
        <v>4.171608771180245E-4</v>
      </c>
      <c r="S31" s="590">
        <v>9.2301255672912447E-2</v>
      </c>
      <c r="T31" s="590">
        <v>7.0799264802509199E-2</v>
      </c>
      <c r="U31" s="601">
        <f t="shared" si="40"/>
        <v>1.8460251134582491E-2</v>
      </c>
      <c r="V31" s="601">
        <f t="shared" si="41"/>
        <v>1.0619889720376379E-2</v>
      </c>
      <c r="W31" s="1243">
        <f t="shared" si="42"/>
        <v>5.6585590745559843E-3</v>
      </c>
      <c r="X31" s="1243">
        <f t="shared" si="43"/>
        <v>3.7944854141158308E-3</v>
      </c>
      <c r="Y31" s="1299">
        <f t="shared" si="44"/>
        <v>6.9243329341338346E-3</v>
      </c>
      <c r="Z31" s="1299">
        <f t="shared" si="45"/>
        <v>8.0465732625023794E-4</v>
      </c>
    </row>
    <row r="32" spans="1:26" ht="13" x14ac:dyDescent="0.2">
      <c r="A32" t="str">
        <f>'（詳細設定）地域内経済効果の按分比率'!A32</f>
        <v>ガス・熱供給・水道業</v>
      </c>
      <c r="B32" s="589">
        <f t="shared" si="33"/>
        <v>4.3686477468694557E-2</v>
      </c>
      <c r="C32" s="589">
        <f t="shared" si="34"/>
        <v>4.2719094513739245E-2</v>
      </c>
      <c r="D32" s="589">
        <f t="shared" si="17"/>
        <v>9.4789050670088595E-3</v>
      </c>
      <c r="E32" s="589">
        <f t="shared" si="17"/>
        <v>3.2298805911062066E-3</v>
      </c>
      <c r="F32" s="589">
        <f t="shared" si="8"/>
        <v>0</v>
      </c>
      <c r="G32" s="589">
        <f t="shared" si="9"/>
        <v>0</v>
      </c>
      <c r="H32" s="589">
        <f t="shared" si="18"/>
        <v>0</v>
      </c>
      <c r="I32" s="589">
        <f t="shared" si="18"/>
        <v>0</v>
      </c>
      <c r="J32" s="589">
        <f t="shared" si="2"/>
        <v>9.9114357640548878E-2</v>
      </c>
      <c r="K32" s="590">
        <f>VLOOKUP($A32,'（詳細設定）地域内経済効果の按分比率'!$A$19:$C$47,2,FALSE)</f>
        <v>6.2625321926289446E-2</v>
      </c>
      <c r="L32" s="590">
        <f>VLOOKUP($A32,'（詳細設定）地域内経済効果の按分比率'!$A$19:$C$47,3,FALSE)</f>
        <v>5.7663647175902714E-2</v>
      </c>
      <c r="M32" s="601">
        <f t="shared" si="35"/>
        <v>1.2525064385257891E-2</v>
      </c>
      <c r="N32" s="601">
        <f t="shared" si="36"/>
        <v>8.6495470763854072E-3</v>
      </c>
      <c r="O32" s="1243">
        <f t="shared" si="37"/>
        <v>3.8392661193989729E-3</v>
      </c>
      <c r="P32" s="1243">
        <f t="shared" si="38"/>
        <v>2.5745139529380302E-3</v>
      </c>
      <c r="Q32" s="1299">
        <f t="shared" si="39"/>
        <v>5.6396389476098862E-3</v>
      </c>
      <c r="R32" s="1299">
        <f t="shared" si="13"/>
        <v>6.5536663816817661E-4</v>
      </c>
      <c r="S32" s="590">
        <v>0</v>
      </c>
      <c r="T32" s="590">
        <v>0</v>
      </c>
      <c r="U32" s="601">
        <f t="shared" si="40"/>
        <v>0</v>
      </c>
      <c r="V32" s="601">
        <f t="shared" si="41"/>
        <v>0</v>
      </c>
      <c r="W32" s="1243">
        <f t="shared" si="42"/>
        <v>0</v>
      </c>
      <c r="X32" s="1243">
        <f t="shared" si="43"/>
        <v>0</v>
      </c>
      <c r="Y32" s="1299">
        <f t="shared" si="44"/>
        <v>0</v>
      </c>
      <c r="Z32" s="1299">
        <f t="shared" si="45"/>
        <v>0</v>
      </c>
    </row>
    <row r="33" spans="1:26" ht="13" x14ac:dyDescent="0.2">
      <c r="A33" t="str">
        <f>'（詳細設定）地域内経済効果の按分比率'!A33</f>
        <v>情報通信業</v>
      </c>
      <c r="B33" s="589">
        <f t="shared" si="33"/>
        <v>0.11377968834970313</v>
      </c>
      <c r="C33" s="589">
        <f t="shared" si="34"/>
        <v>7.2004843609441427E-2</v>
      </c>
      <c r="D33" s="589">
        <f t="shared" si="17"/>
        <v>1.9505065869069527E-2</v>
      </c>
      <c r="E33" s="589">
        <f t="shared" si="17"/>
        <v>7.8098671521897181E-3</v>
      </c>
      <c r="F33" s="589">
        <f t="shared" si="8"/>
        <v>6.4624711379657251E-2</v>
      </c>
      <c r="G33" s="589">
        <f t="shared" si="9"/>
        <v>4.3833681207188571E-2</v>
      </c>
      <c r="H33" s="589">
        <f t="shared" si="18"/>
        <v>1.14661484519686E-2</v>
      </c>
      <c r="I33" s="589">
        <f t="shared" si="18"/>
        <v>4.4809034005123833E-3</v>
      </c>
      <c r="J33" s="589">
        <f t="shared" si="2"/>
        <v>0.3375049094197306</v>
      </c>
      <c r="K33" s="590">
        <f>VLOOKUP($A33,'（詳細設定）地域内経済効果の按分比率'!$A$19:$C$47,2,FALSE)</f>
        <v>0.16310515345804943</v>
      </c>
      <c r="L33" s="590">
        <f>VLOOKUP($A33,'（詳細設定）地域内経済効果の按分比率'!$A$19:$C$47,3,FALSE)</f>
        <v>9.7194520251722677E-2</v>
      </c>
      <c r="M33" s="601">
        <f t="shared" si="35"/>
        <v>3.262103069160989E-2</v>
      </c>
      <c r="N33" s="601">
        <f t="shared" si="36"/>
        <v>1.4579178037758401E-2</v>
      </c>
      <c r="O33" s="1243">
        <f t="shared" si="37"/>
        <v>9.9992154979723236E-3</v>
      </c>
      <c r="P33" s="1243">
        <f t="shared" si="38"/>
        <v>6.7052189187640793E-3</v>
      </c>
      <c r="Q33" s="1299">
        <f t="shared" si="39"/>
        <v>9.505850371097203E-3</v>
      </c>
      <c r="R33" s="1299">
        <f t="shared" si="13"/>
        <v>1.1046482334256386E-3</v>
      </c>
      <c r="S33" s="590">
        <v>9.2640642804051515E-2</v>
      </c>
      <c r="T33" s="590">
        <v>5.9168153171865405E-2</v>
      </c>
      <c r="U33" s="601">
        <f t="shared" si="40"/>
        <v>1.8528128560810302E-2</v>
      </c>
      <c r="V33" s="601">
        <f t="shared" si="41"/>
        <v>8.8752229757798097E-3</v>
      </c>
      <c r="W33" s="1243">
        <f t="shared" si="42"/>
        <v>5.6793653151287005E-3</v>
      </c>
      <c r="X33" s="1243">
        <f t="shared" si="43"/>
        <v>3.808437548455253E-3</v>
      </c>
      <c r="Y33" s="1299">
        <f t="shared" si="44"/>
        <v>5.7867831368398999E-3</v>
      </c>
      <c r="Z33" s="1299">
        <f t="shared" si="45"/>
        <v>6.7246585205713038E-4</v>
      </c>
    </row>
    <row r="34" spans="1:26" ht="13" x14ac:dyDescent="0.2">
      <c r="A34" t="str">
        <f>'（詳細設定）地域内経済効果の按分比率'!A34</f>
        <v>陸運業</v>
      </c>
      <c r="B34" s="589">
        <f t="shared" si="33"/>
        <v>0.17167959076567907</v>
      </c>
      <c r="C34" s="589">
        <f t="shared" si="34"/>
        <v>4.3861606213392371E-2</v>
      </c>
      <c r="D34" s="589">
        <f t="shared" si="17"/>
        <v>2.0878059149409958E-2</v>
      </c>
      <c r="E34" s="589">
        <f t="shared" si="17"/>
        <v>1.0790246983021412E-2</v>
      </c>
      <c r="F34" s="589">
        <f t="shared" si="8"/>
        <v>0.10823631332404345</v>
      </c>
      <c r="G34" s="589">
        <f t="shared" si="9"/>
        <v>5.3506952861885893E-2</v>
      </c>
      <c r="H34" s="589">
        <f t="shared" si="18"/>
        <v>1.6575868890003627E-2</v>
      </c>
      <c r="I34" s="589">
        <f t="shared" si="18"/>
        <v>7.1994054253626686E-3</v>
      </c>
      <c r="J34" s="589">
        <f t="shared" si="2"/>
        <v>0.43272804361279843</v>
      </c>
      <c r="K34" s="590">
        <f>VLOOKUP($A34,'（詳細設定）地域内経済効果の按分比率'!$A$19:$C$47,2,FALSE)</f>
        <v>0.24610566616589147</v>
      </c>
      <c r="L34" s="590">
        <f>VLOOKUP($A34,'（詳細設定）地域内経済効果の按分比率'!$A$19:$C$47,3,FALSE)</f>
        <v>5.9205847269164294E-2</v>
      </c>
      <c r="M34" s="601">
        <f t="shared" si="35"/>
        <v>4.9221133233178296E-2</v>
      </c>
      <c r="N34" s="601">
        <f t="shared" si="36"/>
        <v>8.8808770903746441E-3</v>
      </c>
      <c r="O34" s="1243">
        <f t="shared" si="37"/>
        <v>1.5087589442093978E-2</v>
      </c>
      <c r="P34" s="1243">
        <f t="shared" si="38"/>
        <v>1.0117352724940116E-2</v>
      </c>
      <c r="Q34" s="1299">
        <f t="shared" si="39"/>
        <v>5.7904697073159804E-3</v>
      </c>
      <c r="R34" s="1299">
        <f t="shared" si="13"/>
        <v>6.7289425808129684E-4</v>
      </c>
      <c r="S34" s="590">
        <v>0.15515862936970057</v>
      </c>
      <c r="T34" s="590">
        <v>7.2225455300629626E-2</v>
      </c>
      <c r="U34" s="601">
        <f t="shared" si="40"/>
        <v>3.1031725873940114E-2</v>
      </c>
      <c r="V34" s="601">
        <f t="shared" si="41"/>
        <v>1.0833818295094444E-2</v>
      </c>
      <c r="W34" s="1243">
        <f t="shared" si="42"/>
        <v>9.5120512046646625E-3</v>
      </c>
      <c r="X34" s="1243">
        <f t="shared" si="43"/>
        <v>6.3785389670523414E-3</v>
      </c>
      <c r="Y34" s="1299">
        <f t="shared" si="44"/>
        <v>7.0638176853389627E-3</v>
      </c>
      <c r="Z34" s="1299">
        <f t="shared" si="45"/>
        <v>8.2086645831032693E-4</v>
      </c>
    </row>
    <row r="35" spans="1:26" ht="13" x14ac:dyDescent="0.2">
      <c r="A35" t="str">
        <f>'（詳細設定）地域内経済効果の按分比率'!A35</f>
        <v>その他の学術研究、専門・技術サービス業</v>
      </c>
      <c r="B35" s="589">
        <f t="shared" si="33"/>
        <v>0.20971367468110436</v>
      </c>
      <c r="C35" s="589">
        <f t="shared" si="34"/>
        <v>4.2626584513906315E-2</v>
      </c>
      <c r="D35" s="589">
        <f t="shared" si="17"/>
        <v>2.40575365459769E-2</v>
      </c>
      <c r="E35" s="589">
        <f t="shared" si="17"/>
        <v>1.3012709504149787E-2</v>
      </c>
      <c r="F35" s="589">
        <f t="shared" si="8"/>
        <v>7.5526612996935638E-2</v>
      </c>
      <c r="G35" s="589">
        <f t="shared" si="9"/>
        <v>4.3493189243735693E-2</v>
      </c>
      <c r="H35" s="589">
        <f t="shared" si="18"/>
        <v>1.2379281475763681E-2</v>
      </c>
      <c r="I35" s="589">
        <f t="shared" si="18"/>
        <v>5.1181462993241979E-3</v>
      </c>
      <c r="J35" s="589">
        <f t="shared" si="2"/>
        <v>0.42592773526089661</v>
      </c>
      <c r="K35" s="590">
        <f>VLOOKUP($A35,'（詳細設定）地域内経済効果の按分比率'!$A$19:$C$47,2,FALSE)</f>
        <v>0.30062818405673924</v>
      </c>
      <c r="L35" s="590">
        <f>VLOOKUP($A35,'（詳細設定）地域内経済効果の按分比率'!$A$19:$C$47,3,FALSE)</f>
        <v>5.7538774117348222E-2</v>
      </c>
      <c r="M35" s="601">
        <f t="shared" si="35"/>
        <v>6.0125636811347853E-2</v>
      </c>
      <c r="N35" s="601">
        <f t="shared" si="36"/>
        <v>8.630816117602233E-3</v>
      </c>
      <c r="O35" s="1243">
        <f t="shared" si="37"/>
        <v>1.8430110474225922E-2</v>
      </c>
      <c r="P35" s="1243">
        <f t="shared" si="38"/>
        <v>1.2358762090061089E-2</v>
      </c>
      <c r="Q35" s="1299">
        <f t="shared" si="39"/>
        <v>5.6274260717509798E-3</v>
      </c>
      <c r="R35" s="1299">
        <f t="shared" si="13"/>
        <v>6.5394741408869735E-4</v>
      </c>
      <c r="S35" s="590">
        <v>0.10826870754971653</v>
      </c>
      <c r="T35" s="590">
        <v>5.8708545854101173E-2</v>
      </c>
      <c r="U35" s="601">
        <f t="shared" si="40"/>
        <v>2.1653741509943307E-2</v>
      </c>
      <c r="V35" s="601">
        <f t="shared" si="41"/>
        <v>8.8062818781151752E-3</v>
      </c>
      <c r="W35" s="1243">
        <f t="shared" si="42"/>
        <v>6.6374490046692686E-3</v>
      </c>
      <c r="X35" s="1243">
        <f t="shared" si="43"/>
        <v>4.4509040381683126E-3</v>
      </c>
      <c r="Y35" s="1299">
        <f t="shared" si="44"/>
        <v>5.7418324710944131E-3</v>
      </c>
      <c r="Z35" s="1299">
        <f t="shared" si="45"/>
        <v>6.6724226115588573E-4</v>
      </c>
    </row>
    <row r="36" spans="1:26" ht="13" x14ac:dyDescent="0.2">
      <c r="A36" t="str">
        <f>'（詳細設定）地域内経済効果の按分比率'!A36</f>
        <v>その他のサービス業</v>
      </c>
      <c r="B36" s="589">
        <f t="shared" si="33"/>
        <v>0.20166052843343305</v>
      </c>
      <c r="C36" s="589">
        <f t="shared" si="34"/>
        <v>4.612588765638799E-2</v>
      </c>
      <c r="D36" s="589">
        <f t="shared" si="17"/>
        <v>2.3811774767967815E-2</v>
      </c>
      <c r="E36" s="589">
        <f t="shared" si="17"/>
        <v>1.2591808597441049E-2</v>
      </c>
      <c r="F36" s="589">
        <f t="shared" si="8"/>
        <v>1.4252051374319556E-2</v>
      </c>
      <c r="G36" s="589">
        <f t="shared" si="9"/>
        <v>1.7059018446566522E-2</v>
      </c>
      <c r="H36" s="589">
        <f t="shared" si="18"/>
        <v>3.5045797445338628E-3</v>
      </c>
      <c r="I36" s="589">
        <f t="shared" si="18"/>
        <v>1.101603767296744E-3</v>
      </c>
      <c r="J36" s="589">
        <f t="shared" si="2"/>
        <v>0.32010725278794661</v>
      </c>
      <c r="K36" s="590">
        <f>VLOOKUP($A36,'（詳細設定）地域内経済効果の按分比率'!$A$19:$C$47,2,FALSE)</f>
        <v>0.28908385946244552</v>
      </c>
      <c r="L36" s="590">
        <f>VLOOKUP($A36,'（詳細設定）地域内経済効果の按分比率'!$A$19:$C$47,3,FALSE)</f>
        <v>6.2262249276792296E-2</v>
      </c>
      <c r="M36" s="601">
        <f t="shared" si="35"/>
        <v>5.7816771892489106E-2</v>
      </c>
      <c r="N36" s="601">
        <f t="shared" si="36"/>
        <v>9.3393373915188448E-3</v>
      </c>
      <c r="O36" s="1243">
        <f t="shared" si="37"/>
        <v>1.7722381828321584E-2</v>
      </c>
      <c r="P36" s="1243">
        <f t="shared" si="38"/>
        <v>1.1884177308201816E-2</v>
      </c>
      <c r="Q36" s="1299">
        <f t="shared" si="39"/>
        <v>6.0893929396462305E-3</v>
      </c>
      <c r="R36" s="1299">
        <f t="shared" si="13"/>
        <v>7.0763128923923403E-4</v>
      </c>
      <c r="S36" s="590">
        <v>2.0430562433566907E-2</v>
      </c>
      <c r="T36" s="590">
        <v>2.3026827512780186E-2</v>
      </c>
      <c r="U36" s="601">
        <f t="shared" si="40"/>
        <v>4.0861124867133817E-3</v>
      </c>
      <c r="V36" s="601">
        <f t="shared" si="41"/>
        <v>3.4540241269170277E-3</v>
      </c>
      <c r="W36" s="1243">
        <f t="shared" si="42"/>
        <v>1.2525024022037204E-3</v>
      </c>
      <c r="X36" s="1243">
        <f t="shared" si="43"/>
        <v>8.3989617033025047E-4</v>
      </c>
      <c r="Y36" s="1299">
        <f t="shared" si="44"/>
        <v>2.2520773423301424E-3</v>
      </c>
      <c r="Z36" s="1299">
        <f t="shared" si="45"/>
        <v>2.6170759696649346E-4</v>
      </c>
    </row>
    <row r="37" spans="1:26" ht="13" x14ac:dyDescent="0.2">
      <c r="A37" t="str">
        <f>'（詳細設定）地域内経済効果の按分比率'!A37</f>
        <v>銀行業</v>
      </c>
      <c r="B37" s="589">
        <f t="shared" si="33"/>
        <v>0.10067253448714489</v>
      </c>
      <c r="C37" s="589">
        <f t="shared" si="34"/>
        <v>0.14928294292181132</v>
      </c>
      <c r="D37" s="589">
        <f t="shared" si="17"/>
        <v>2.855518845328571E-2</v>
      </c>
      <c r="E37" s="589">
        <f t="shared" si="17"/>
        <v>8.2229884774487685E-3</v>
      </c>
      <c r="F37" s="589">
        <f t="shared" si="8"/>
        <v>4.1839375741372815E-2</v>
      </c>
      <c r="G37" s="589">
        <f t="shared" si="9"/>
        <v>4.9287993801380846E-2</v>
      </c>
      <c r="H37" s="589">
        <f t="shared" si="18"/>
        <v>1.0183782788526033E-2</v>
      </c>
      <c r="I37" s="589">
        <f t="shared" si="18"/>
        <v>3.2218034179981453E-3</v>
      </c>
      <c r="J37" s="589">
        <f t="shared" si="2"/>
        <v>0.39126661008896857</v>
      </c>
      <c r="K37" s="590">
        <f>VLOOKUP($A37,'（詳細設定）地域内経済効果の按分比率'!$A$19:$C$47,2,FALSE)</f>
        <v>0.1443158214326343</v>
      </c>
      <c r="L37" s="590">
        <f>VLOOKUP($A37,'（詳細設定）地域内経済効果の按分比率'!$A$19:$C$47,3,FALSE)</f>
        <v>0.20150705552186263</v>
      </c>
      <c r="M37" s="601">
        <f t="shared" si="35"/>
        <v>2.8863164286526861E-2</v>
      </c>
      <c r="N37" s="601">
        <f t="shared" si="36"/>
        <v>3.0226058328279393E-2</v>
      </c>
      <c r="O37" s="1243">
        <f t="shared" si="37"/>
        <v>8.8473292699666525E-3</v>
      </c>
      <c r="P37" s="1243">
        <f t="shared" si="38"/>
        <v>5.9327933889959045E-3</v>
      </c>
      <c r="Q37" s="1299">
        <f t="shared" si="39"/>
        <v>1.9707859183319056E-2</v>
      </c>
      <c r="R37" s="1299">
        <f t="shared" si="13"/>
        <v>2.2901950884528636E-3</v>
      </c>
      <c r="S37" s="590">
        <v>5.9977469615765638E-2</v>
      </c>
      <c r="T37" s="590">
        <v>6.6530564772547443E-2</v>
      </c>
      <c r="U37" s="601">
        <f t="shared" si="40"/>
        <v>1.1995493923153128E-2</v>
      </c>
      <c r="V37" s="601">
        <f t="shared" si="41"/>
        <v>9.9795847158821154E-3</v>
      </c>
      <c r="W37" s="1243">
        <f t="shared" si="42"/>
        <v>3.6769386558063448E-3</v>
      </c>
      <c r="X37" s="1243">
        <f t="shared" si="43"/>
        <v>2.4656612954333502E-3</v>
      </c>
      <c r="Y37" s="1299">
        <f t="shared" si="44"/>
        <v>6.5068441327196889E-3</v>
      </c>
      <c r="Z37" s="1299">
        <f t="shared" si="45"/>
        <v>7.5614212256479513E-4</v>
      </c>
    </row>
    <row r="38" spans="1:26" ht="13" x14ac:dyDescent="0.2">
      <c r="A38" t="str">
        <f>'（詳細設定）地域内経済効果の按分比率'!A38</f>
        <v>損害保険業</v>
      </c>
      <c r="B38" s="589">
        <f t="shared" si="33"/>
        <v>4.9150236897309768E-2</v>
      </c>
      <c r="C38" s="589">
        <f t="shared" si="34"/>
        <v>5.3618517079342641E-2</v>
      </c>
      <c r="D38" s="589">
        <f t="shared" ref="D38:E45" si="46">O38+Q38</f>
        <v>1.1397979652954235E-2</v>
      </c>
      <c r="E38" s="589">
        <f t="shared" si="46"/>
        <v>3.7190800291901178E-3</v>
      </c>
      <c r="F38" s="589">
        <f t="shared" si="8"/>
        <v>6.0185340312548186E-2</v>
      </c>
      <c r="G38" s="589">
        <f t="shared" si="9"/>
        <v>3.7214410751098125E-2</v>
      </c>
      <c r="H38" s="589">
        <f t="shared" ref="H38:I45" si="47">W38+Y38</f>
        <v>1.0202151488705905E-2</v>
      </c>
      <c r="I38" s="589">
        <f t="shared" si="47"/>
        <v>4.117735923069671E-3</v>
      </c>
      <c r="J38" s="589">
        <f t="shared" si="2"/>
        <v>0.22960545213421865</v>
      </c>
      <c r="K38" s="590">
        <f>VLOOKUP($A38,'（詳細設定）地域内経済効果の按分比率'!$A$19:$C$47,2,FALSE)</f>
        <v>7.0457715677651619E-2</v>
      </c>
      <c r="L38" s="590">
        <f>VLOOKUP($A38,'（詳細設定）地域内経済効果の按分比率'!$A$19:$C$47,3,FALSE)</f>
        <v>7.2376048372559371E-2</v>
      </c>
      <c r="M38" s="601">
        <f t="shared" si="35"/>
        <v>1.4091543135530325E-2</v>
      </c>
      <c r="N38" s="601">
        <f t="shared" si="36"/>
        <v>1.0856407255883905E-2</v>
      </c>
      <c r="O38" s="1243">
        <f t="shared" si="37"/>
        <v>4.3194336145663493E-3</v>
      </c>
      <c r="P38" s="1243">
        <f t="shared" si="38"/>
        <v>2.8965020302451697E-3</v>
      </c>
      <c r="Q38" s="1299">
        <f t="shared" si="39"/>
        <v>7.0785460383878847E-3</v>
      </c>
      <c r="R38" s="1299">
        <f t="shared" si="13"/>
        <v>8.2257799894494815E-4</v>
      </c>
      <c r="S38" s="590">
        <v>8.6276727507214268E-2</v>
      </c>
      <c r="T38" s="590">
        <v>5.023324290547114E-2</v>
      </c>
      <c r="U38" s="601">
        <f t="shared" si="40"/>
        <v>1.7255345501442854E-2</v>
      </c>
      <c r="V38" s="601">
        <f t="shared" si="41"/>
        <v>7.5349864358206708E-3</v>
      </c>
      <c r="W38" s="1243">
        <f t="shared" si="42"/>
        <v>5.2892233783793834E-3</v>
      </c>
      <c r="X38" s="1243">
        <f t="shared" si="43"/>
        <v>3.5468183148438495E-3</v>
      </c>
      <c r="Y38" s="1299">
        <f t="shared" si="44"/>
        <v>4.9129281103265218E-3</v>
      </c>
      <c r="Z38" s="1299">
        <f t="shared" si="45"/>
        <v>5.7091760822582159E-4</v>
      </c>
    </row>
    <row r="39" spans="1:26" ht="13" x14ac:dyDescent="0.2">
      <c r="A39" t="str">
        <f>'（詳細設定）地域内経済効果の按分比率'!A39</f>
        <v>不動産業</v>
      </c>
      <c r="B39" s="589">
        <f t="shared" si="33"/>
        <v>7.9167875839825722E-2</v>
      </c>
      <c r="C39" s="589">
        <f t="shared" si="34"/>
        <v>9.6499375705720467E-2</v>
      </c>
      <c r="D39" s="589">
        <f t="shared" si="46"/>
        <v>1.9696991961051687E-2</v>
      </c>
      <c r="E39" s="589">
        <f t="shared" si="46"/>
        <v>6.1459157879250855E-3</v>
      </c>
      <c r="F39" s="589">
        <f t="shared" si="8"/>
        <v>6.60888218357608E-2</v>
      </c>
      <c r="G39" s="589">
        <f t="shared" si="9"/>
        <v>4.9347003888949192E-2</v>
      </c>
      <c r="H39" s="589">
        <f t="shared" si="47"/>
        <v>1.2322669099196383E-2</v>
      </c>
      <c r="I39" s="589">
        <f t="shared" si="47"/>
        <v>4.651767332398811E-3</v>
      </c>
      <c r="J39" s="589">
        <f t="shared" si="2"/>
        <v>0.33392042145082812</v>
      </c>
      <c r="K39" s="590">
        <f>VLOOKUP($A39,'（詳細設定）地域内経済効果の按分比率'!$A$19:$C$47,2,FALSE)</f>
        <v>0.11348852088709617</v>
      </c>
      <c r="L39" s="590">
        <f>VLOOKUP($A39,'（詳細設定）地域内経済効果の按分比率'!$A$19:$C$47,3,FALSE)</f>
        <v>0.13025805009981886</v>
      </c>
      <c r="M39" s="601">
        <f t="shared" si="35"/>
        <v>2.2697704177419235E-2</v>
      </c>
      <c r="N39" s="601">
        <f t="shared" si="36"/>
        <v>1.9538707514972827E-2</v>
      </c>
      <c r="O39" s="1243">
        <f t="shared" si="37"/>
        <v>6.9574513915532212E-3</v>
      </c>
      <c r="P39" s="1243">
        <f t="shared" si="38"/>
        <v>4.6654894782979959E-3</v>
      </c>
      <c r="Q39" s="1299">
        <f t="shared" si="39"/>
        <v>1.2739540569498465E-2</v>
      </c>
      <c r="R39" s="1299">
        <f t="shared" si="13"/>
        <v>1.4804263096270896E-3</v>
      </c>
      <c r="S39" s="590">
        <v>9.4739470495408304E-2</v>
      </c>
      <c r="T39" s="590">
        <v>6.661021854115122E-2</v>
      </c>
      <c r="U39" s="601">
        <f t="shared" si="40"/>
        <v>1.8947894099081663E-2</v>
      </c>
      <c r="V39" s="601">
        <f t="shared" si="41"/>
        <v>9.991532781172683E-3</v>
      </c>
      <c r="W39" s="1243">
        <f t="shared" si="42"/>
        <v>5.8080346424555411E-3</v>
      </c>
      <c r="X39" s="1243">
        <f t="shared" si="43"/>
        <v>3.8947199181103053E-3</v>
      </c>
      <c r="Y39" s="1299">
        <f t="shared" si="44"/>
        <v>6.5146344567408422E-3</v>
      </c>
      <c r="Z39" s="1299">
        <f t="shared" si="45"/>
        <v>7.5704741428850536E-4</v>
      </c>
    </row>
    <row r="40" spans="1:26" ht="13" x14ac:dyDescent="0.2">
      <c r="A40" t="str">
        <f>'（詳細設定）地域内経済効果の按分比率'!A40</f>
        <v>追加する場合はこちらに入力　O&amp;M（燃料以外）①</v>
      </c>
      <c r="B40" s="589">
        <f t="shared" si="33"/>
        <v>0</v>
      </c>
      <c r="C40" s="589">
        <f t="shared" si="34"/>
        <v>0</v>
      </c>
      <c r="D40" s="589">
        <f t="shared" si="46"/>
        <v>0</v>
      </c>
      <c r="E40" s="589">
        <f t="shared" si="46"/>
        <v>0</v>
      </c>
      <c r="F40" s="589">
        <f t="shared" si="8"/>
        <v>7.8848249281376931E-2</v>
      </c>
      <c r="G40" s="589">
        <f t="shared" si="9"/>
        <v>6.2255227010100472E-2</v>
      </c>
      <c r="H40" s="589">
        <f t="shared" si="47"/>
        <v>1.5148098894980835E-2</v>
      </c>
      <c r="I40" s="589">
        <f t="shared" si="47"/>
        <v>5.6017297703918924E-3</v>
      </c>
      <c r="J40" s="589">
        <f t="shared" si="2"/>
        <v>0.16185330495685013</v>
      </c>
      <c r="K40" s="590">
        <f>VLOOKUP($A40,'（詳細設定）地域内経済効果の按分比率'!$A$19:$C$47,2,FALSE)</f>
        <v>0</v>
      </c>
      <c r="L40" s="590">
        <f>VLOOKUP($A40,'（詳細設定）地域内経済効果の按分比率'!$A$19:$C$47,3,FALSE)</f>
        <v>0</v>
      </c>
      <c r="M40" s="601">
        <f t="shared" si="35"/>
        <v>0</v>
      </c>
      <c r="N40" s="601">
        <f t="shared" si="36"/>
        <v>0</v>
      </c>
      <c r="O40" s="1243">
        <f t="shared" si="37"/>
        <v>0</v>
      </c>
      <c r="P40" s="1243">
        <f t="shared" si="38"/>
        <v>0</v>
      </c>
      <c r="Q40" s="1299">
        <f t="shared" si="39"/>
        <v>0</v>
      </c>
      <c r="R40" s="1299">
        <f t="shared" si="13"/>
        <v>0</v>
      </c>
      <c r="S40" s="590">
        <v>0.1130303306809073</v>
      </c>
      <c r="T40" s="590">
        <v>8.4034165190734478E-2</v>
      </c>
      <c r="U40" s="601">
        <f t="shared" si="40"/>
        <v>2.2606066136181463E-2</v>
      </c>
      <c r="V40" s="601">
        <f t="shared" si="41"/>
        <v>1.2605124778610172E-2</v>
      </c>
      <c r="W40" s="1243">
        <f t="shared" si="42"/>
        <v>6.9293618890843662E-3</v>
      </c>
      <c r="X40" s="1243">
        <f t="shared" si="43"/>
        <v>4.6466533742645314E-3</v>
      </c>
      <c r="Y40" s="1299">
        <f t="shared" si="44"/>
        <v>8.2187370058964693E-3</v>
      </c>
      <c r="Z40" s="1299">
        <f t="shared" si="45"/>
        <v>9.550763961273614E-4</v>
      </c>
    </row>
    <row r="41" spans="1:26" ht="13" x14ac:dyDescent="0.2">
      <c r="A41" t="str">
        <f>'（詳細設定）地域内経済効果の按分比率'!A41</f>
        <v>追加する場合はこちらに入力　O&amp;M（燃料以外）②</v>
      </c>
      <c r="B41" s="589">
        <f t="shared" si="33"/>
        <v>0</v>
      </c>
      <c r="C41" s="589">
        <f t="shared" si="34"/>
        <v>0</v>
      </c>
      <c r="D41" s="589">
        <f t="shared" si="46"/>
        <v>0</v>
      </c>
      <c r="E41" s="589">
        <f t="shared" si="46"/>
        <v>0</v>
      </c>
      <c r="F41" s="589">
        <f t="shared" si="8"/>
        <v>7.4928315816921998E-2</v>
      </c>
      <c r="G41" s="589">
        <f t="shared" si="9"/>
        <v>5.587352852074115E-2</v>
      </c>
      <c r="H41" s="589">
        <f t="shared" si="47"/>
        <v>1.3961114774388741E-2</v>
      </c>
      <c r="I41" s="589">
        <f t="shared" si="47"/>
        <v>5.2728182451181058E-3</v>
      </c>
      <c r="J41" s="589">
        <f t="shared" ref="J41:J45" si="48">SUM(B41:I41)</f>
        <v>0.15003577735717</v>
      </c>
      <c r="K41" s="590">
        <f>VLOOKUP($A41,'（詳細設定）地域内経済効果の按分比率'!$A$19:$C$47,2,FALSE)</f>
        <v>0</v>
      </c>
      <c r="L41" s="590">
        <f>VLOOKUP($A41,'（詳細設定）地域内経済効果の按分比率'!$A$19:$C$47,3,FALSE)</f>
        <v>0</v>
      </c>
      <c r="M41" s="601">
        <f t="shared" si="35"/>
        <v>0</v>
      </c>
      <c r="N41" s="601">
        <f t="shared" si="36"/>
        <v>0</v>
      </c>
      <c r="O41" s="1243">
        <f t="shared" si="37"/>
        <v>0</v>
      </c>
      <c r="P41" s="1243">
        <f t="shared" si="38"/>
        <v>0</v>
      </c>
      <c r="Q41" s="1299">
        <f t="shared" si="39"/>
        <v>0</v>
      </c>
      <c r="R41" s="1299">
        <f t="shared" si="13"/>
        <v>0</v>
      </c>
      <c r="S41" s="590">
        <v>0.10741103818205476</v>
      </c>
      <c r="T41" s="590">
        <v>7.5419937425324934E-2</v>
      </c>
      <c r="U41" s="601">
        <f t="shared" si="40"/>
        <v>2.1482207636410955E-2</v>
      </c>
      <c r="V41" s="601">
        <f t="shared" si="41"/>
        <v>1.1312990613798739E-2</v>
      </c>
      <c r="W41" s="1243">
        <f t="shared" si="42"/>
        <v>6.5848692997890956E-3</v>
      </c>
      <c r="X41" s="1243">
        <f t="shared" si="43"/>
        <v>4.4156454289327124E-3</v>
      </c>
      <c r="Y41" s="1299">
        <f t="shared" si="44"/>
        <v>7.3762454745996443E-3</v>
      </c>
      <c r="Z41" s="1299">
        <f t="shared" si="45"/>
        <v>8.5717281618539359E-4</v>
      </c>
    </row>
    <row r="42" spans="1:26" ht="13" x14ac:dyDescent="0.2">
      <c r="A42" t="str">
        <f>'（詳細設定）地域内経済効果の按分比率'!A42</f>
        <v>追加する場合はこちらに入力　O&amp;M（燃料以外）③</v>
      </c>
      <c r="B42" s="589">
        <f t="shared" si="33"/>
        <v>0</v>
      </c>
      <c r="C42" s="589">
        <f t="shared" si="34"/>
        <v>0</v>
      </c>
      <c r="D42" s="589">
        <f t="shared" si="46"/>
        <v>0</v>
      </c>
      <c r="E42" s="589">
        <f t="shared" si="46"/>
        <v>0</v>
      </c>
      <c r="F42" s="589">
        <f t="shared" si="8"/>
        <v>0.1358097978029266</v>
      </c>
      <c r="G42" s="589">
        <f t="shared" si="9"/>
        <v>9.6309091984577933E-2</v>
      </c>
      <c r="H42" s="589">
        <f t="shared" si="47"/>
        <v>2.4649691095714323E-2</v>
      </c>
      <c r="I42" s="589">
        <f t="shared" si="47"/>
        <v>9.480995594535602E-3</v>
      </c>
      <c r="J42" s="589">
        <f t="shared" si="48"/>
        <v>0.26624957647775443</v>
      </c>
      <c r="K42" s="590">
        <f>VLOOKUP($A42,'（詳細設定）地域内経済効果の按分比率'!$A$19:$C$47,2,FALSE)</f>
        <v>0</v>
      </c>
      <c r="L42" s="590">
        <f>VLOOKUP($A42,'（詳細設定）地域内経済効果の按分比率'!$A$19:$C$47,3,FALSE)</f>
        <v>0</v>
      </c>
      <c r="M42" s="601">
        <f t="shared" si="35"/>
        <v>0</v>
      </c>
      <c r="N42" s="601">
        <f t="shared" si="36"/>
        <v>0</v>
      </c>
      <c r="O42" s="1243">
        <f t="shared" si="37"/>
        <v>0</v>
      </c>
      <c r="P42" s="1243">
        <f t="shared" si="38"/>
        <v>0</v>
      </c>
      <c r="Q42" s="1299">
        <f t="shared" si="39"/>
        <v>0</v>
      </c>
      <c r="R42" s="1299">
        <f t="shared" si="13"/>
        <v>0</v>
      </c>
      <c r="S42" s="590">
        <v>0.19468569683255596</v>
      </c>
      <c r="T42" s="590">
        <v>0.13000119883730551</v>
      </c>
      <c r="U42" s="601">
        <f t="shared" si="40"/>
        <v>3.8937139366511192E-2</v>
      </c>
      <c r="V42" s="601">
        <f t="shared" si="41"/>
        <v>1.9500179825595827E-2</v>
      </c>
      <c r="W42" s="1243">
        <f t="shared" si="42"/>
        <v>1.1935271177696579E-2</v>
      </c>
      <c r="X42" s="1243">
        <f t="shared" si="43"/>
        <v>8.0034884854216035E-3</v>
      </c>
      <c r="Y42" s="1299">
        <f t="shared" si="44"/>
        <v>1.2714419918017745E-2</v>
      </c>
      <c r="Z42" s="1299">
        <f t="shared" si="45"/>
        <v>1.4775071091139983E-3</v>
      </c>
    </row>
    <row r="43" spans="1:26" ht="13" x14ac:dyDescent="0.2">
      <c r="A43" t="str">
        <f>'（詳細設定）地域内経済効果の按分比率'!A43</f>
        <v>追加する場合はこちらに入力　O&amp;M（燃料以外）④</v>
      </c>
      <c r="B43" s="589">
        <f t="shared" si="33"/>
        <v>0</v>
      </c>
      <c r="C43" s="589">
        <f t="shared" si="34"/>
        <v>0</v>
      </c>
      <c r="D43" s="589">
        <f t="shared" si="46"/>
        <v>0</v>
      </c>
      <c r="E43" s="589">
        <f t="shared" si="46"/>
        <v>0</v>
      </c>
      <c r="F43" s="589">
        <f t="shared" si="8"/>
        <v>8.9484816258733876E-2</v>
      </c>
      <c r="G43" s="589">
        <f t="shared" si="9"/>
        <v>7.1109874948148494E-2</v>
      </c>
      <c r="H43" s="589">
        <f t="shared" si="47"/>
        <v>1.7251826828104163E-2</v>
      </c>
      <c r="I43" s="589">
        <f t="shared" si="47"/>
        <v>6.364401516140354E-3</v>
      </c>
      <c r="J43" s="589">
        <f t="shared" si="48"/>
        <v>0.18421091955112687</v>
      </c>
      <c r="K43" s="590">
        <f>VLOOKUP($A43,'（詳細設定）地域内経済効果の按分比率'!$A$19:$C$47,2,FALSE)</f>
        <v>0</v>
      </c>
      <c r="L43" s="590">
        <f>VLOOKUP($A43,'（詳細設定）地域内経済効果の按分比率'!$A$19:$C$47,3,FALSE)</f>
        <v>0</v>
      </c>
      <c r="M43" s="601">
        <f t="shared" si="35"/>
        <v>0</v>
      </c>
      <c r="N43" s="601">
        <f t="shared" si="36"/>
        <v>0</v>
      </c>
      <c r="O43" s="1243">
        <f t="shared" si="37"/>
        <v>0</v>
      </c>
      <c r="P43" s="1243">
        <f t="shared" si="38"/>
        <v>0</v>
      </c>
      <c r="Q43" s="1299">
        <f t="shared" si="39"/>
        <v>0</v>
      </c>
      <c r="R43" s="1299">
        <f t="shared" si="13"/>
        <v>0</v>
      </c>
      <c r="S43" s="590">
        <v>0.12827803362571108</v>
      </c>
      <c r="T43" s="590">
        <v>9.5986461941832982E-2</v>
      </c>
      <c r="U43" s="601">
        <f t="shared" si="40"/>
        <v>2.5655606725142218E-2</v>
      </c>
      <c r="V43" s="601">
        <f t="shared" si="41"/>
        <v>1.4397969291274947E-2</v>
      </c>
      <c r="W43" s="1243">
        <f t="shared" si="42"/>
        <v>7.8641273723428339E-3</v>
      </c>
      <c r="X43" s="1243">
        <f t="shared" si="43"/>
        <v>5.2734832694921454E-3</v>
      </c>
      <c r="Y43" s="1299">
        <f t="shared" si="44"/>
        <v>9.3876994557613291E-3</v>
      </c>
      <c r="Z43" s="1299">
        <f t="shared" si="45"/>
        <v>1.0909182466482086E-3</v>
      </c>
    </row>
    <row r="44" spans="1:26" ht="13" x14ac:dyDescent="0.2">
      <c r="A44" t="str">
        <f>'（詳細設定）地域内経済効果の按分比率'!A44</f>
        <v>追加する場合はこちらに入力　O&amp;M（燃料以外）⑤</v>
      </c>
      <c r="B44" s="589">
        <f t="shared" si="33"/>
        <v>0</v>
      </c>
      <c r="C44" s="589">
        <f t="shared" si="34"/>
        <v>0</v>
      </c>
      <c r="D44" s="589">
        <f t="shared" si="46"/>
        <v>0</v>
      </c>
      <c r="E44" s="589">
        <f t="shared" si="46"/>
        <v>0</v>
      </c>
      <c r="F44" s="589">
        <f t="shared" si="8"/>
        <v>9.8870489961720515E-2</v>
      </c>
      <c r="G44" s="589">
        <f t="shared" si="9"/>
        <v>8.0609420102055962E-2</v>
      </c>
      <c r="H44" s="589">
        <f t="shared" si="47"/>
        <v>1.9330760719180256E-2</v>
      </c>
      <c r="I44" s="589">
        <f t="shared" si="47"/>
        <v>7.0632496861738449E-3</v>
      </c>
      <c r="J44" s="589">
        <f t="shared" si="48"/>
        <v>0.20587392046913056</v>
      </c>
      <c r="K44" s="590">
        <f>VLOOKUP($A44,'（詳細設定）地域内経済効果の按分比率'!$A$19:$C$47,2,FALSE)</f>
        <v>0</v>
      </c>
      <c r="L44" s="590">
        <f>VLOOKUP($A44,'（詳細設定）地域内経済効果の按分比率'!$A$19:$C$47,3,FALSE)</f>
        <v>0</v>
      </c>
      <c r="M44" s="601">
        <f t="shared" si="35"/>
        <v>0</v>
      </c>
      <c r="N44" s="601">
        <f t="shared" si="36"/>
        <v>0</v>
      </c>
      <c r="O44" s="1243">
        <f t="shared" si="37"/>
        <v>0</v>
      </c>
      <c r="P44" s="1243">
        <f t="shared" si="38"/>
        <v>0</v>
      </c>
      <c r="Q44" s="1299">
        <f t="shared" si="39"/>
        <v>0</v>
      </c>
      <c r="R44" s="1299">
        <f t="shared" si="13"/>
        <v>0</v>
      </c>
      <c r="S44" s="590">
        <v>0.14173255940124072</v>
      </c>
      <c r="T44" s="590">
        <v>0.10880926229192704</v>
      </c>
      <c r="U44" s="601">
        <f t="shared" si="40"/>
        <v>2.8346511880248143E-2</v>
      </c>
      <c r="V44" s="601">
        <f t="shared" si="41"/>
        <v>1.6321389343789055E-2</v>
      </c>
      <c r="W44" s="1243">
        <f t="shared" si="42"/>
        <v>8.6889615348461451E-3</v>
      </c>
      <c r="X44" s="1243">
        <f t="shared" si="43"/>
        <v>5.826596024425936E-3</v>
      </c>
      <c r="Y44" s="1299">
        <f t="shared" si="44"/>
        <v>1.0641799184334111E-2</v>
      </c>
      <c r="Z44" s="1299">
        <f t="shared" si="45"/>
        <v>1.236653661747909E-3</v>
      </c>
    </row>
    <row r="45" spans="1:26" ht="13" x14ac:dyDescent="0.2">
      <c r="A45" t="str">
        <f>'（詳細設定）地域内経済効果の按分比率'!A45</f>
        <v>追加する場合はこちらに入力　O&amp;M（燃料以外）⑥</v>
      </c>
      <c r="B45" s="589">
        <f t="shared" si="33"/>
        <v>0</v>
      </c>
      <c r="C45" s="589">
        <f t="shared" si="34"/>
        <v>0</v>
      </c>
      <c r="D45" s="589">
        <f t="shared" si="46"/>
        <v>0</v>
      </c>
      <c r="E45" s="589">
        <f t="shared" si="46"/>
        <v>0</v>
      </c>
      <c r="F45" s="589">
        <f t="shared" si="8"/>
        <v>6.8256041818370861E-2</v>
      </c>
      <c r="G45" s="589">
        <f t="shared" si="9"/>
        <v>0.11895166840320505</v>
      </c>
      <c r="H45" s="589">
        <f t="shared" si="47"/>
        <v>2.1702115639765492E-2</v>
      </c>
      <c r="I45" s="589">
        <f t="shared" si="47"/>
        <v>5.8473114254183048E-3</v>
      </c>
      <c r="J45" s="589">
        <f t="shared" si="48"/>
        <v>0.21475713728675969</v>
      </c>
      <c r="K45" s="590">
        <f>VLOOKUP($A45,'（詳細設定）地域内経済効果の按分比率'!$A$19:$C$47,2,FALSE)</f>
        <v>0</v>
      </c>
      <c r="L45" s="590">
        <f>VLOOKUP($A45,'（詳細設定）地域内経済効果の按分比率'!$A$19:$C$47,3,FALSE)</f>
        <v>0</v>
      </c>
      <c r="M45" s="601">
        <f t="shared" si="35"/>
        <v>0</v>
      </c>
      <c r="N45" s="601">
        <f t="shared" si="36"/>
        <v>0</v>
      </c>
      <c r="O45" s="1243">
        <f t="shared" si="37"/>
        <v>0</v>
      </c>
      <c r="P45" s="1243">
        <f t="shared" si="38"/>
        <v>0</v>
      </c>
      <c r="Q45" s="1299">
        <f t="shared" si="39"/>
        <v>0</v>
      </c>
      <c r="R45" s="1299">
        <f>IF(L45&gt;0,L45*$D$54*$D$61*(1+$D$63),0)</f>
        <v>0</v>
      </c>
      <c r="S45" s="590">
        <v>9.7846217868054711E-2</v>
      </c>
      <c r="T45" s="590">
        <v>0.16056489763801873</v>
      </c>
      <c r="U45" s="601">
        <f t="shared" si="40"/>
        <v>1.9569243573610944E-2</v>
      </c>
      <c r="V45" s="601">
        <f t="shared" si="41"/>
        <v>2.4084734645702811E-2</v>
      </c>
      <c r="W45" s="1243">
        <f t="shared" si="42"/>
        <v>5.9984948199436833E-3</v>
      </c>
      <c r="X45" s="1243">
        <f t="shared" si="43"/>
        <v>4.0224376561292154E-3</v>
      </c>
      <c r="Y45" s="1299">
        <f t="shared" si="44"/>
        <v>1.5703620819821809E-2</v>
      </c>
      <c r="Z45" s="1299">
        <f t="shared" si="45"/>
        <v>1.8248737692890893E-3</v>
      </c>
    </row>
    <row r="49" spans="1:5" ht="13" x14ac:dyDescent="0.2">
      <c r="A49" s="571" t="s">
        <v>818</v>
      </c>
      <c r="B49" s="571"/>
      <c r="C49" s="571"/>
      <c r="D49" s="572"/>
      <c r="E49"/>
    </row>
    <row r="50" spans="1:5" ht="13" x14ac:dyDescent="0.2">
      <c r="A50" s="574" t="s">
        <v>218</v>
      </c>
      <c r="B50" s="574"/>
      <c r="C50" s="574"/>
      <c r="D50" s="574"/>
      <c r="E50"/>
    </row>
    <row r="51" spans="1:5" ht="13" x14ac:dyDescent="0.2">
      <c r="A51" s="575" t="s">
        <v>219</v>
      </c>
      <c r="B51" s="575"/>
      <c r="C51" s="575"/>
      <c r="D51" s="576"/>
      <c r="E51"/>
    </row>
    <row r="52" spans="1:5" ht="13" x14ac:dyDescent="0.2">
      <c r="A52" s="575"/>
      <c r="B52" s="575"/>
      <c r="C52" s="575"/>
      <c r="D52" s="576"/>
      <c r="E52"/>
    </row>
    <row r="53" spans="1:5" ht="13" x14ac:dyDescent="0.2">
      <c r="A53" s="577" t="s">
        <v>198</v>
      </c>
      <c r="B53" s="580"/>
      <c r="C53" s="580"/>
      <c r="D53" s="1005">
        <v>0.2</v>
      </c>
      <c r="E53" t="s">
        <v>1021</v>
      </c>
    </row>
    <row r="54" spans="1:5" ht="13" x14ac:dyDescent="0.2">
      <c r="A54" s="577" t="s">
        <v>220</v>
      </c>
      <c r="B54" s="580"/>
      <c r="C54" s="580"/>
      <c r="D54" s="1005">
        <v>0.15</v>
      </c>
      <c r="E54" t="s">
        <v>1022</v>
      </c>
    </row>
    <row r="55" spans="1:5" ht="13" x14ac:dyDescent="0.2">
      <c r="A55" s="575" t="s">
        <v>221</v>
      </c>
      <c r="B55" s="578"/>
      <c r="C55" s="579"/>
      <c r="D55" s="579"/>
      <c r="E55"/>
    </row>
    <row r="56" spans="1:5" ht="13" x14ac:dyDescent="0.2">
      <c r="A56" s="577" t="s">
        <v>198</v>
      </c>
      <c r="B56" s="580" t="s">
        <v>222</v>
      </c>
      <c r="C56" s="1006" t="s">
        <v>223</v>
      </c>
      <c r="D56" s="1007">
        <f>D77/F77</f>
        <v>2.1755524577801139E-2</v>
      </c>
      <c r="E56" t="s">
        <v>1030</v>
      </c>
    </row>
    <row r="57" spans="1:5" ht="13" x14ac:dyDescent="0.2">
      <c r="A57" s="577"/>
      <c r="B57" s="580"/>
      <c r="C57" s="580" t="s">
        <v>224</v>
      </c>
      <c r="D57" s="1007">
        <f>C77/E77</f>
        <v>2.7744797850403048E-2</v>
      </c>
      <c r="E57" t="s">
        <v>1030</v>
      </c>
    </row>
    <row r="58" spans="1:5" ht="13" x14ac:dyDescent="0.2">
      <c r="A58" s="577"/>
      <c r="B58" s="580" t="s">
        <v>225</v>
      </c>
      <c r="C58" s="1006" t="s">
        <v>223</v>
      </c>
      <c r="D58" s="1008">
        <v>0.06</v>
      </c>
      <c r="E58" t="s">
        <v>1030</v>
      </c>
    </row>
    <row r="59" spans="1:5" ht="13" x14ac:dyDescent="0.2">
      <c r="A59" s="577"/>
      <c r="B59" s="580"/>
      <c r="C59" s="580" t="s">
        <v>224</v>
      </c>
      <c r="D59" s="1008">
        <v>0.04</v>
      </c>
      <c r="E59" t="s">
        <v>1030</v>
      </c>
    </row>
    <row r="60" spans="1:5" ht="13" x14ac:dyDescent="0.2">
      <c r="A60" s="577" t="s">
        <v>220</v>
      </c>
      <c r="B60" s="580" t="s">
        <v>226</v>
      </c>
      <c r="C60" s="1006" t="s">
        <v>223</v>
      </c>
      <c r="D60" s="1008">
        <v>0.01</v>
      </c>
      <c r="E60" s="1238" t="s">
        <v>1077</v>
      </c>
    </row>
    <row r="61" spans="1:5" ht="13" x14ac:dyDescent="0.2">
      <c r="A61" s="577"/>
      <c r="B61" s="580"/>
      <c r="C61" s="580" t="s">
        <v>224</v>
      </c>
      <c r="D61" s="1007">
        <v>0.06</v>
      </c>
      <c r="E61" t="s">
        <v>1031</v>
      </c>
    </row>
    <row r="62" spans="1:5" ht="13" x14ac:dyDescent="0.2">
      <c r="A62" s="577"/>
      <c r="B62" s="580" t="s">
        <v>312</v>
      </c>
      <c r="C62" s="1006" t="s">
        <v>223</v>
      </c>
      <c r="D62" s="1007">
        <f>D78/F78</f>
        <v>0.26821881506719669</v>
      </c>
      <c r="E62" t="s">
        <v>1032</v>
      </c>
    </row>
    <row r="63" spans="1:5" ht="13" x14ac:dyDescent="0.2">
      <c r="A63" s="577"/>
      <c r="B63" s="580"/>
      <c r="C63" s="580" t="s">
        <v>224</v>
      </c>
      <c r="D63" s="1007">
        <f>C78/E78</f>
        <v>0.26281494352736751</v>
      </c>
      <c r="E63" t="s">
        <v>1032</v>
      </c>
    </row>
    <row r="64" spans="1:5" ht="13" x14ac:dyDescent="0.2">
      <c r="A64" s="577" t="s">
        <v>1028</v>
      </c>
      <c r="B64" s="580" t="s">
        <v>1025</v>
      </c>
      <c r="C64" s="1006" t="s">
        <v>223</v>
      </c>
      <c r="D64" s="1007">
        <v>7.4999999999999997E-3</v>
      </c>
      <c r="E64" s="1238" t="s">
        <v>1033</v>
      </c>
    </row>
    <row r="65" spans="1:7" ht="13" x14ac:dyDescent="0.2">
      <c r="A65" s="577"/>
      <c r="B65" s="580" t="s">
        <v>1026</v>
      </c>
      <c r="C65" s="1006" t="s">
        <v>223</v>
      </c>
      <c r="D65" s="1007">
        <v>1.8499999999999999E-2</v>
      </c>
      <c r="E65" s="1238" t="s">
        <v>1034</v>
      </c>
    </row>
    <row r="66" spans="1:7" ht="13" x14ac:dyDescent="0.2">
      <c r="A66" s="577"/>
      <c r="B66" s="580" t="s">
        <v>1029</v>
      </c>
      <c r="C66" s="1006" t="s">
        <v>223</v>
      </c>
      <c r="D66" s="1007">
        <v>0.4</v>
      </c>
      <c r="E66" t="s">
        <v>1035</v>
      </c>
    </row>
    <row r="67" spans="1:7" ht="13" x14ac:dyDescent="0.2">
      <c r="A67" s="577" t="s">
        <v>1024</v>
      </c>
      <c r="B67" s="580" t="s">
        <v>1025</v>
      </c>
      <c r="C67" s="1006" t="s">
        <v>223</v>
      </c>
      <c r="D67" s="1007">
        <v>0</v>
      </c>
      <c r="E67" t="s">
        <v>1035</v>
      </c>
    </row>
    <row r="68" spans="1:7" ht="13" x14ac:dyDescent="0.2">
      <c r="A68" s="577"/>
      <c r="B68" s="580" t="s">
        <v>1026</v>
      </c>
      <c r="C68" s="1006" t="s">
        <v>223</v>
      </c>
      <c r="D68" s="1007">
        <v>7.0000000000000007E-2</v>
      </c>
      <c r="E68" t="s">
        <v>1035</v>
      </c>
    </row>
    <row r="69" spans="1:7" ht="13" x14ac:dyDescent="0.2">
      <c r="A69" s="577"/>
      <c r="B69" s="580" t="s">
        <v>1027</v>
      </c>
      <c r="C69" s="1006" t="s">
        <v>223</v>
      </c>
      <c r="D69" s="1007">
        <v>0.37</v>
      </c>
      <c r="E69" t="s">
        <v>1035</v>
      </c>
    </row>
    <row r="70" spans="1:7" ht="13" x14ac:dyDescent="0.2">
      <c r="A70" s="580" t="s">
        <v>227</v>
      </c>
      <c r="B70" s="580" t="s">
        <v>47</v>
      </c>
      <c r="C70" s="580" t="s">
        <v>224</v>
      </c>
      <c r="D70" s="1009">
        <v>1.4E-2</v>
      </c>
      <c r="E70"/>
    </row>
    <row r="71" spans="1:7" ht="13" x14ac:dyDescent="0.2">
      <c r="A71" s="580" t="s">
        <v>228</v>
      </c>
      <c r="B71" s="1010" t="s">
        <v>1023</v>
      </c>
      <c r="C71" s="1010"/>
      <c r="D71" s="1011">
        <v>0.1</v>
      </c>
      <c r="E71"/>
    </row>
    <row r="72" spans="1:7" ht="13" x14ac:dyDescent="0.2">
      <c r="A72" s="580"/>
      <c r="B72" s="580" t="s">
        <v>280</v>
      </c>
      <c r="C72" s="1006" t="s">
        <v>223</v>
      </c>
      <c r="D72" s="1012">
        <v>1.0999999999999999E-2</v>
      </c>
      <c r="E72"/>
    </row>
    <row r="73" spans="1:7" ht="13" x14ac:dyDescent="0.2">
      <c r="A73" s="580"/>
      <c r="B73" s="580"/>
      <c r="C73" s="580" t="s">
        <v>219</v>
      </c>
      <c r="D73" s="1012">
        <v>7.8E-2</v>
      </c>
      <c r="E73"/>
    </row>
    <row r="74" spans="1:7" ht="13" x14ac:dyDescent="0.2">
      <c r="A74" s="580"/>
      <c r="B74" s="580"/>
      <c r="C74" s="580" t="s">
        <v>224</v>
      </c>
      <c r="D74" s="1012">
        <v>1.0999999999999999E-2</v>
      </c>
      <c r="E74"/>
    </row>
    <row r="75" spans="1:7" ht="13" x14ac:dyDescent="0.2">
      <c r="A75" t="s">
        <v>1036</v>
      </c>
      <c r="B75" s="1239"/>
      <c r="C75" s="1239" t="s">
        <v>1037</v>
      </c>
      <c r="D75" s="1240" t="s">
        <v>1038</v>
      </c>
      <c r="E75" s="1239" t="s">
        <v>1039</v>
      </c>
      <c r="F75" s="1239" t="s">
        <v>1040</v>
      </c>
    </row>
    <row r="76" spans="1:7" ht="13" x14ac:dyDescent="0.2">
      <c r="A76" t="s">
        <v>1041</v>
      </c>
      <c r="B76" s="1239" t="s">
        <v>37</v>
      </c>
      <c r="C76" s="1239"/>
      <c r="D76" s="1240"/>
      <c r="E76" s="1239"/>
      <c r="F76" s="1239"/>
      <c r="G76" s="415" t="s">
        <v>1042</v>
      </c>
    </row>
    <row r="77" spans="1:7" ht="13" x14ac:dyDescent="0.2">
      <c r="A77" s="1240" t="s">
        <v>1043</v>
      </c>
      <c r="B77" s="1240" t="s">
        <v>1044</v>
      </c>
      <c r="C77" s="1240">
        <v>2220</v>
      </c>
      <c r="D77" s="1240">
        <v>952</v>
      </c>
      <c r="E77" s="1240">
        <v>80015</v>
      </c>
      <c r="F77" s="1241">
        <v>43759</v>
      </c>
      <c r="G77" s="1242" t="s">
        <v>1045</v>
      </c>
    </row>
    <row r="78" spans="1:7" ht="13" x14ac:dyDescent="0.2">
      <c r="A78" s="1240" t="s">
        <v>1046</v>
      </c>
      <c r="B78" s="1240" t="s">
        <v>1044</v>
      </c>
      <c r="C78" s="1240">
        <v>4235</v>
      </c>
      <c r="D78" s="1240">
        <v>1417</v>
      </c>
      <c r="E78" s="1240">
        <v>16114</v>
      </c>
      <c r="F78">
        <v>5283</v>
      </c>
    </row>
    <row r="79" spans="1:7" ht="13" x14ac:dyDescent="0.2">
      <c r="A79" s="573"/>
      <c r="B79" s="573"/>
      <c r="C79" s="573"/>
      <c r="D79" s="573"/>
      <c r="E79"/>
    </row>
    <row r="80" spans="1:7" ht="13" x14ac:dyDescent="0.2">
      <c r="A80" s="574" t="s">
        <v>348</v>
      </c>
      <c r="B80" s="574"/>
      <c r="C80" s="574"/>
      <c r="D80" s="599"/>
      <c r="E80"/>
    </row>
    <row r="81" spans="1:5" ht="13" x14ac:dyDescent="0.2">
      <c r="A81" s="1010" t="s">
        <v>202</v>
      </c>
      <c r="B81" s="1010" t="s">
        <v>349</v>
      </c>
      <c r="C81" s="1010"/>
      <c r="D81" s="1013">
        <v>0.8</v>
      </c>
      <c r="E81"/>
    </row>
    <row r="82" spans="1:5" ht="13" x14ac:dyDescent="0.2">
      <c r="A82" s="1010"/>
      <c r="B82" s="1010" t="s">
        <v>266</v>
      </c>
      <c r="C82" s="1010"/>
      <c r="D82" s="1013">
        <v>0.1</v>
      </c>
      <c r="E82"/>
    </row>
    <row r="83" spans="1:5" ht="13" x14ac:dyDescent="0.2">
      <c r="A83" s="1010"/>
      <c r="B83" s="1010" t="s">
        <v>350</v>
      </c>
      <c r="C83" s="1010"/>
      <c r="D83" s="1013">
        <v>0.1</v>
      </c>
      <c r="E83"/>
    </row>
    <row r="84" spans="1:5" ht="13" x14ac:dyDescent="0.2">
      <c r="A84"/>
      <c r="B84"/>
      <c r="C84"/>
      <c r="D84"/>
      <c r="E84"/>
    </row>
  </sheetData>
  <sheetProtection password="B437" sheet="1" objects="1" scenarios="1"/>
  <phoneticPr fontId="4"/>
  <conditionalFormatting sqref="B4:I24 B26:I45">
    <cfRule type="cellIs" dxfId="1" priority="2" operator="lessThan">
      <formula>0</formula>
    </cfRule>
  </conditionalFormatting>
  <conditionalFormatting sqref="B25:I25">
    <cfRule type="cellIs" dxfId="0" priority="1" operator="lessThan">
      <formula>0</formula>
    </cfRule>
  </conditionalFormatting>
  <hyperlinks>
    <hyperlink ref="G77" r:id="rId1"/>
    <hyperlink ref="E65" r:id="rId2"/>
    <hyperlink ref="E64" r:id="rId3"/>
    <hyperlink ref="E60" r:id="rId4"/>
  </hyperlinks>
  <pageMargins left="0.7" right="0.7" top="0.75" bottom="0.75" header="0.3" footer="0.3"/>
  <pageSetup paperSize="9" scale="20"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はじめに</vt:lpstr>
      <vt:lpstr>本ツールの使い方</vt:lpstr>
      <vt:lpstr>入門編_計算シート</vt:lpstr>
      <vt:lpstr>非公開部分→</vt:lpstr>
      <vt:lpstr>インプット</vt:lpstr>
      <vt:lpstr>（詳細設定）地域内経済効果の按分比率</vt:lpstr>
      <vt:lpstr>更新情報</vt:lpstr>
      <vt:lpstr>入力条件の変換</vt:lpstr>
      <vt:lpstr>地域経済性計算シート</vt:lpstr>
      <vt:lpstr>地域経済性分析・初期条件</vt:lpstr>
      <vt:lpstr>計算シート</vt:lpstr>
      <vt:lpstr>波及効果シート</vt:lpstr>
      <vt:lpstr>インプット!Print_Area</vt:lpstr>
      <vt:lpstr>はじめに!Print_Area</vt:lpstr>
      <vt:lpstr>地域経済性分析・初期条件!Print_Area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2022-03-07T07:16:59Z</dcterms:created>
  <dcterms:modified xsi:type="dcterms:W3CDTF">2022-03-07T07:18:50Z</dcterms:modified>
</cp:coreProperties>
</file>