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F7B22842-EF30-417F-BB59-4577206ED901}" xr6:coauthVersionLast="47" xr6:coauthVersionMax="47" xr10:uidLastSave="{00000000-0000-0000-0000-000000000000}"/>
  <bookViews>
    <workbookView xWindow="-120" yWindow="-120" windowWidth="29040" windowHeight="17520" xr2:uid="{27E5E646-48CA-4850-909B-B824E1E3AF96}"/>
  </bookViews>
  <sheets>
    <sheet name="○目次" sheetId="10" r:id="rId1"/>
    <sheet name="例①" sheetId="1" r:id="rId2"/>
    <sheet name="例②" sheetId="2" r:id="rId3"/>
    <sheet name="例③" sheetId="3" r:id="rId4"/>
    <sheet name="例④" sheetId="4" r:id="rId5"/>
    <sheet name="(例⑤は欠番)" sheetId="9" r:id="rId6"/>
    <sheet name="例⑥" sheetId="5" r:id="rId7"/>
    <sheet name="例⑦" sheetId="6" r:id="rId8"/>
    <sheet name="例⑧" sheetId="7" r:id="rId9"/>
    <sheet name="例⑨" sheetId="8" r:id="rId10"/>
  </sheets>
  <definedNames>
    <definedName name="_xlnm.Print_Area" localSheetId="1">例①!$A:$L</definedName>
    <definedName name="_xlnm.Print_Area" localSheetId="2">例②!$A:$L</definedName>
    <definedName name="_xlnm.Print_Area" localSheetId="3">例③!$A:$L</definedName>
    <definedName name="_xlnm.Print_Area" localSheetId="4">例④!$A:$L</definedName>
    <definedName name="_xlnm.Print_Area" localSheetId="6">例⑥!$A:$L</definedName>
    <definedName name="_xlnm.Print_Area" localSheetId="7">例⑦!$A:$L</definedName>
    <definedName name="_xlnm.Print_Area" localSheetId="8">例⑧!$A:$L</definedName>
    <definedName name="_xlnm.Print_Area" localSheetId="9">例⑨!$A:$L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8" l="1"/>
  <c r="H44" i="8"/>
  <c r="H45" i="7"/>
  <c r="H44" i="7"/>
  <c r="H45" i="6"/>
  <c r="H44" i="6"/>
  <c r="H45" i="5"/>
  <c r="H44" i="5"/>
  <c r="H45" i="4"/>
  <c r="H44" i="4"/>
  <c r="H45" i="3"/>
  <c r="H44" i="3"/>
  <c r="H45" i="2"/>
  <c r="H44" i="2"/>
  <c r="H45" i="1"/>
  <c r="H44" i="1"/>
  <c r="S23" i="8" l="1"/>
  <c r="R23" i="8"/>
  <c r="Q23" i="8"/>
  <c r="P23" i="8"/>
  <c r="S23" i="7"/>
  <c r="R23" i="7"/>
  <c r="Q23" i="7"/>
  <c r="P23" i="7"/>
  <c r="S23" i="6"/>
  <c r="R23" i="6"/>
  <c r="Q23" i="6"/>
  <c r="P23" i="6"/>
  <c r="S23" i="5"/>
  <c r="R23" i="5"/>
  <c r="Q23" i="5"/>
  <c r="P23" i="5"/>
  <c r="S23" i="4"/>
  <c r="R23" i="4"/>
  <c r="Q23" i="4"/>
  <c r="P23" i="4"/>
  <c r="S23" i="3"/>
  <c r="R23" i="3"/>
  <c r="Q23" i="3"/>
  <c r="P23" i="3"/>
  <c r="P23" i="2"/>
  <c r="P23" i="1"/>
  <c r="S23" i="2"/>
  <c r="R23" i="2"/>
  <c r="Q23" i="2"/>
  <c r="S23" i="1"/>
  <c r="R23" i="1"/>
  <c r="Q23" i="1"/>
  <c r="F36" i="4" l="1"/>
  <c r="F58" i="8" l="1"/>
  <c r="F50" i="8"/>
  <c r="F82" i="8"/>
  <c r="F83" i="8" s="1"/>
  <c r="F84" i="8" s="1"/>
  <c r="F85" i="8" s="1"/>
  <c r="F86" i="8" s="1"/>
  <c r="F87" i="8" s="1"/>
  <c r="F88" i="8" s="1"/>
  <c r="F89" i="8" s="1"/>
  <c r="F90" i="8" s="1"/>
  <c r="F91" i="8" s="1"/>
  <c r="F92" i="8" s="1"/>
  <c r="F93" i="8" s="1"/>
  <c r="E78" i="8"/>
  <c r="E79" i="8" s="1"/>
  <c r="E80" i="8" s="1"/>
  <c r="E81" i="8" s="1"/>
  <c r="E82" i="8" s="1"/>
  <c r="E83" i="8" s="1"/>
  <c r="E84" i="8" s="1"/>
  <c r="E85" i="8" s="1"/>
  <c r="E86" i="8" s="1"/>
  <c r="E87" i="8" s="1"/>
  <c r="E88" i="8" s="1"/>
  <c r="E89" i="8" s="1"/>
  <c r="E90" i="8" s="1"/>
  <c r="E91" i="8" s="1"/>
  <c r="E92" i="8" s="1"/>
  <c r="E93" i="8" s="1"/>
  <c r="I77" i="8"/>
  <c r="I78" i="8" s="1"/>
  <c r="G61" i="8"/>
  <c r="F13" i="8"/>
  <c r="G59" i="8" l="1"/>
  <c r="G82" i="8"/>
  <c r="G53" i="8"/>
  <c r="G83" i="8"/>
  <c r="I79" i="8"/>
  <c r="S24" i="8"/>
  <c r="G51" i="8"/>
  <c r="R26" i="8" l="1"/>
  <c r="F63" i="8"/>
  <c r="K78" i="8" s="1"/>
  <c r="P25" i="8" s="1"/>
  <c r="Q24" i="8"/>
  <c r="G81" i="8"/>
  <c r="G84" i="8"/>
  <c r="S25" i="8"/>
  <c r="I80" i="8"/>
  <c r="R25" i="8" l="1"/>
  <c r="R24" i="8"/>
  <c r="K79" i="8"/>
  <c r="P26" i="8" s="1"/>
  <c r="K77" i="8"/>
  <c r="P24" i="8" s="1"/>
  <c r="T24" i="8" s="1"/>
  <c r="G80" i="8"/>
  <c r="G85" i="8"/>
  <c r="I81" i="8"/>
  <c r="K80" i="8"/>
  <c r="P27" i="8" s="1"/>
  <c r="Q27" i="8"/>
  <c r="S26" i="8"/>
  <c r="R27" i="8"/>
  <c r="Q25" i="8" l="1"/>
  <c r="T25" i="8" s="1"/>
  <c r="Q26" i="8"/>
  <c r="T26" i="8" s="1"/>
  <c r="G79" i="8"/>
  <c r="G86" i="8"/>
  <c r="R28" i="8"/>
  <c r="S27" i="8"/>
  <c r="T27" i="8" s="1"/>
  <c r="Q28" i="8"/>
  <c r="I82" i="8"/>
  <c r="K81" i="8"/>
  <c r="P28" i="8" s="1"/>
  <c r="G77" i="8" l="1"/>
  <c r="G78" i="8"/>
  <c r="G87" i="8"/>
  <c r="I83" i="8"/>
  <c r="K82" i="8"/>
  <c r="P29" i="8" s="1"/>
  <c r="Q29" i="8"/>
  <c r="S28" i="8"/>
  <c r="T28" i="8" s="1"/>
  <c r="R29" i="8"/>
  <c r="G88" i="8" l="1"/>
  <c r="R30" i="8"/>
  <c r="S29" i="8"/>
  <c r="T29" i="8" s="1"/>
  <c r="Q30" i="8"/>
  <c r="I84" i="8"/>
  <c r="F33" i="8" s="1"/>
  <c r="K83" i="8"/>
  <c r="P30" i="8" s="1"/>
  <c r="G89" i="8" l="1"/>
  <c r="I85" i="8"/>
  <c r="K84" i="8"/>
  <c r="P31" i="8" s="1"/>
  <c r="Q31" i="8"/>
  <c r="S30" i="8"/>
  <c r="T30" i="8" s="1"/>
  <c r="R31" i="8"/>
  <c r="G90" i="8" l="1"/>
  <c r="R32" i="8"/>
  <c r="S31" i="8"/>
  <c r="T31" i="8" s="1"/>
  <c r="Q32" i="8"/>
  <c r="I86" i="8"/>
  <c r="K85" i="8"/>
  <c r="P32" i="8" s="1"/>
  <c r="G91" i="8" l="1"/>
  <c r="I87" i="8"/>
  <c r="K86" i="8"/>
  <c r="P33" i="8" s="1"/>
  <c r="Q33" i="8"/>
  <c r="S32" i="8"/>
  <c r="T32" i="8" s="1"/>
  <c r="R33" i="8"/>
  <c r="G93" i="8" l="1"/>
  <c r="G92" i="8"/>
  <c r="R34" i="8"/>
  <c r="S33" i="8"/>
  <c r="T33" i="8" s="1"/>
  <c r="Q34" i="8"/>
  <c r="I88" i="8"/>
  <c r="K87" i="8"/>
  <c r="P34" i="8" s="1"/>
  <c r="I89" i="8" l="1"/>
  <c r="K88" i="8"/>
  <c r="P35" i="8" s="1"/>
  <c r="Q35" i="8"/>
  <c r="S34" i="8"/>
  <c r="T34" i="8" s="1"/>
  <c r="R35" i="8"/>
  <c r="R36" i="8" l="1"/>
  <c r="S35" i="8"/>
  <c r="T35" i="8" s="1"/>
  <c r="Q36" i="8"/>
  <c r="I90" i="8"/>
  <c r="K89" i="8"/>
  <c r="P36" i="8" s="1"/>
  <c r="I91" i="8" l="1"/>
  <c r="K90" i="8"/>
  <c r="P37" i="8" s="1"/>
  <c r="Q37" i="8"/>
  <c r="S36" i="8"/>
  <c r="T36" i="8" s="1"/>
  <c r="R37" i="8"/>
  <c r="R38" i="8" l="1"/>
  <c r="S37" i="8"/>
  <c r="T37" i="8" s="1"/>
  <c r="Q38" i="8"/>
  <c r="I92" i="8"/>
  <c r="K91" i="8"/>
  <c r="P38" i="8" s="1"/>
  <c r="I93" i="8" l="1"/>
  <c r="K92" i="8"/>
  <c r="P39" i="8" s="1"/>
  <c r="Q39" i="8"/>
  <c r="S38" i="8"/>
  <c r="T38" i="8" s="1"/>
  <c r="R39" i="8"/>
  <c r="R40" i="8" l="1"/>
  <c r="S39" i="8"/>
  <c r="T39" i="8" s="1"/>
  <c r="Q40" i="8"/>
  <c r="G30" i="8"/>
  <c r="K93" i="8"/>
  <c r="P40" i="8" s="1"/>
  <c r="G28" i="8"/>
  <c r="F26" i="8"/>
  <c r="F11" i="8" l="1"/>
  <c r="F14" i="8" s="1"/>
  <c r="S40" i="8"/>
  <c r="T40" i="8" s="1"/>
  <c r="E78" i="7"/>
  <c r="G78" i="7" s="1"/>
  <c r="I77" i="7"/>
  <c r="G77" i="7"/>
  <c r="G61" i="7"/>
  <c r="G59" i="7"/>
  <c r="F36" i="7"/>
  <c r="F13" i="7" s="1"/>
  <c r="G51" i="7" l="1"/>
  <c r="I78" i="7"/>
  <c r="E79" i="7"/>
  <c r="G53" i="7"/>
  <c r="S24" i="7"/>
  <c r="R24" i="7" l="1"/>
  <c r="Q24" i="7"/>
  <c r="S25" i="7"/>
  <c r="G79" i="7"/>
  <c r="E80" i="7"/>
  <c r="F63" i="7"/>
  <c r="K78" i="7" s="1"/>
  <c r="P25" i="7" s="1"/>
  <c r="I79" i="7"/>
  <c r="R26" i="7" l="1"/>
  <c r="R25" i="7"/>
  <c r="Q26" i="7"/>
  <c r="K77" i="7"/>
  <c r="P24" i="7" s="1"/>
  <c r="T24" i="7" s="1"/>
  <c r="R27" i="7"/>
  <c r="Q27" i="7"/>
  <c r="S26" i="7"/>
  <c r="K79" i="7"/>
  <c r="P26" i="7" s="1"/>
  <c r="I80" i="7"/>
  <c r="G80" i="7"/>
  <c r="E81" i="7"/>
  <c r="T26" i="7" l="1"/>
  <c r="Q25" i="7"/>
  <c r="T25" i="7" s="1"/>
  <c r="S27" i="7"/>
  <c r="R28" i="7"/>
  <c r="Q28" i="7"/>
  <c r="E82" i="7"/>
  <c r="G81" i="7"/>
  <c r="I81" i="7"/>
  <c r="K80" i="7"/>
  <c r="P27" i="7" s="1"/>
  <c r="T27" i="7" s="1"/>
  <c r="I82" i="7" l="1"/>
  <c r="K81" i="7"/>
  <c r="P28" i="7" s="1"/>
  <c r="E83" i="7"/>
  <c r="G82" i="7"/>
  <c r="Q29" i="7"/>
  <c r="R29" i="7"/>
  <c r="S28" i="7"/>
  <c r="T28" i="7" l="1"/>
  <c r="S29" i="7"/>
  <c r="R30" i="7"/>
  <c r="Q30" i="7"/>
  <c r="E84" i="7"/>
  <c r="G83" i="7"/>
  <c r="I83" i="7"/>
  <c r="K82" i="7"/>
  <c r="P29" i="7" s="1"/>
  <c r="T29" i="7" s="1"/>
  <c r="I84" i="7" l="1"/>
  <c r="K83" i="7"/>
  <c r="P30" i="7" s="1"/>
  <c r="F33" i="7"/>
  <c r="E85" i="7"/>
  <c r="G84" i="7"/>
  <c r="Q31" i="7"/>
  <c r="R31" i="7"/>
  <c r="S30" i="7"/>
  <c r="T30" i="7" l="1"/>
  <c r="S31" i="7"/>
  <c r="R32" i="7"/>
  <c r="Q32" i="7"/>
  <c r="E86" i="7"/>
  <c r="G85" i="7"/>
  <c r="I85" i="7"/>
  <c r="K84" i="7"/>
  <c r="P31" i="7" s="1"/>
  <c r="T31" i="7" s="1"/>
  <c r="I86" i="7" l="1"/>
  <c r="K85" i="7"/>
  <c r="P32" i="7" s="1"/>
  <c r="E87" i="7"/>
  <c r="G86" i="7"/>
  <c r="Q33" i="7"/>
  <c r="R33" i="7"/>
  <c r="S32" i="7"/>
  <c r="T32" i="7" l="1"/>
  <c r="S33" i="7"/>
  <c r="R34" i="7"/>
  <c r="Q34" i="7"/>
  <c r="E88" i="7"/>
  <c r="G87" i="7"/>
  <c r="I87" i="7"/>
  <c r="K86" i="7"/>
  <c r="P33" i="7" s="1"/>
  <c r="T33" i="7" s="1"/>
  <c r="I88" i="7" l="1"/>
  <c r="K87" i="7"/>
  <c r="P34" i="7" s="1"/>
  <c r="E89" i="7"/>
  <c r="G88" i="7"/>
  <c r="Q35" i="7"/>
  <c r="R35" i="7"/>
  <c r="S34" i="7"/>
  <c r="T34" i="7" l="1"/>
  <c r="S35" i="7"/>
  <c r="R36" i="7"/>
  <c r="Q36" i="7"/>
  <c r="E90" i="7"/>
  <c r="G89" i="7"/>
  <c r="I89" i="7"/>
  <c r="K88" i="7"/>
  <c r="P35" i="7" s="1"/>
  <c r="T35" i="7" s="1"/>
  <c r="I90" i="7" l="1"/>
  <c r="K89" i="7"/>
  <c r="P36" i="7" s="1"/>
  <c r="E91" i="7"/>
  <c r="G90" i="7"/>
  <c r="Q37" i="7"/>
  <c r="R37" i="7"/>
  <c r="S36" i="7"/>
  <c r="T36" i="7" l="1"/>
  <c r="S37" i="7"/>
  <c r="R38" i="7"/>
  <c r="Q38" i="7"/>
  <c r="E92" i="7"/>
  <c r="G91" i="7"/>
  <c r="I91" i="7"/>
  <c r="K90" i="7"/>
  <c r="P37" i="7" s="1"/>
  <c r="T37" i="7" s="1"/>
  <c r="I92" i="7" l="1"/>
  <c r="K91" i="7"/>
  <c r="P38" i="7" s="1"/>
  <c r="E93" i="7"/>
  <c r="G93" i="7" s="1"/>
  <c r="G92" i="7"/>
  <c r="Q39" i="7"/>
  <c r="R39" i="7"/>
  <c r="S38" i="7"/>
  <c r="T38" i="7" l="1"/>
  <c r="S39" i="7"/>
  <c r="R40" i="7"/>
  <c r="Q40" i="7"/>
  <c r="I93" i="7"/>
  <c r="K92" i="7"/>
  <c r="P39" i="7" s="1"/>
  <c r="T39" i="7" s="1"/>
  <c r="G30" i="7" l="1"/>
  <c r="K93" i="7"/>
  <c r="P40" i="7" s="1"/>
  <c r="G28" i="7"/>
  <c r="F26" i="7"/>
  <c r="S40" i="7"/>
  <c r="T40" i="7" l="1"/>
  <c r="F11" i="7"/>
  <c r="F14" i="7" s="1"/>
  <c r="F36" i="6" l="1"/>
  <c r="F93" i="6"/>
  <c r="F92" i="6"/>
  <c r="F91" i="6"/>
  <c r="F90" i="6"/>
  <c r="F89" i="6"/>
  <c r="F88" i="6"/>
  <c r="F87" i="6"/>
  <c r="F86" i="6"/>
  <c r="F85" i="6"/>
  <c r="F84" i="6"/>
  <c r="F83" i="6"/>
  <c r="H93" i="6" s="1"/>
  <c r="F82" i="6"/>
  <c r="H92" i="6" s="1"/>
  <c r="F81" i="6"/>
  <c r="H91" i="6" s="1"/>
  <c r="F80" i="6"/>
  <c r="H90" i="6" s="1"/>
  <c r="F79" i="6"/>
  <c r="H89" i="6" s="1"/>
  <c r="E78" i="6"/>
  <c r="G78" i="6" s="1"/>
  <c r="I77" i="6"/>
  <c r="G77" i="6"/>
  <c r="G61" i="6"/>
  <c r="F13" i="6"/>
  <c r="G59" i="6" l="1"/>
  <c r="G51" i="6"/>
  <c r="I78" i="6"/>
  <c r="E79" i="6"/>
  <c r="G53" i="6"/>
  <c r="S24" i="6"/>
  <c r="F63" i="6" l="1"/>
  <c r="Q24" i="6"/>
  <c r="S25" i="6"/>
  <c r="E80" i="6"/>
  <c r="G79" i="6"/>
  <c r="I79" i="6"/>
  <c r="R26" i="6" l="1"/>
  <c r="R24" i="6"/>
  <c r="R25" i="6"/>
  <c r="Q26" i="6"/>
  <c r="Q25" i="6"/>
  <c r="I80" i="6"/>
  <c r="K79" i="6"/>
  <c r="P26" i="6" s="1"/>
  <c r="K77" i="6"/>
  <c r="P24" i="6" s="1"/>
  <c r="G80" i="6"/>
  <c r="E81" i="6"/>
  <c r="R27" i="6"/>
  <c r="Q27" i="6"/>
  <c r="S26" i="6"/>
  <c r="K78" i="6"/>
  <c r="P25" i="6" s="1"/>
  <c r="T26" i="6" l="1"/>
  <c r="T24" i="6"/>
  <c r="T25" i="6"/>
  <c r="S27" i="6"/>
  <c r="Q28" i="6"/>
  <c r="R28" i="6"/>
  <c r="E82" i="6"/>
  <c r="G81" i="6"/>
  <c r="I81" i="6"/>
  <c r="K80" i="6"/>
  <c r="P27" i="6" s="1"/>
  <c r="T27" i="6" s="1"/>
  <c r="I82" i="6" l="1"/>
  <c r="K81" i="6"/>
  <c r="P28" i="6" s="1"/>
  <c r="G82" i="6"/>
  <c r="E83" i="6"/>
  <c r="R29" i="6"/>
  <c r="Q29" i="6"/>
  <c r="S28" i="6"/>
  <c r="T28" i="6" l="1"/>
  <c r="E84" i="6"/>
  <c r="G83" i="6"/>
  <c r="S29" i="6"/>
  <c r="Q30" i="6"/>
  <c r="R30" i="6"/>
  <c r="I83" i="6"/>
  <c r="K82" i="6"/>
  <c r="P29" i="6" s="1"/>
  <c r="T29" i="6" s="1"/>
  <c r="F33" i="6"/>
  <c r="I84" i="6" l="1"/>
  <c r="K83" i="6"/>
  <c r="P30" i="6" s="1"/>
  <c r="R31" i="6"/>
  <c r="Q31" i="6"/>
  <c r="S30" i="6"/>
  <c r="E85" i="6"/>
  <c r="G84" i="6"/>
  <c r="T30" i="6" l="1"/>
  <c r="G85" i="6"/>
  <c r="E86" i="6"/>
  <c r="S31" i="6"/>
  <c r="Q32" i="6"/>
  <c r="R32" i="6"/>
  <c r="I85" i="6"/>
  <c r="K84" i="6"/>
  <c r="P31" i="6" s="1"/>
  <c r="T31" i="6" s="1"/>
  <c r="E87" i="6" l="1"/>
  <c r="G86" i="6"/>
  <c r="I86" i="6"/>
  <c r="K85" i="6"/>
  <c r="P32" i="6" s="1"/>
  <c r="R33" i="6"/>
  <c r="Q33" i="6"/>
  <c r="S32" i="6"/>
  <c r="T32" i="6" l="1"/>
  <c r="S33" i="6"/>
  <c r="Q34" i="6"/>
  <c r="R34" i="6"/>
  <c r="I87" i="6"/>
  <c r="K86" i="6"/>
  <c r="P33" i="6" s="1"/>
  <c r="T33" i="6" s="1"/>
  <c r="G87" i="6"/>
  <c r="E88" i="6"/>
  <c r="E89" i="6" l="1"/>
  <c r="G88" i="6"/>
  <c r="I88" i="6"/>
  <c r="K87" i="6"/>
  <c r="P34" i="6" s="1"/>
  <c r="R35" i="6"/>
  <c r="Q35" i="6"/>
  <c r="S34" i="6"/>
  <c r="T34" i="6" l="1"/>
  <c r="S35" i="6"/>
  <c r="Q36" i="6"/>
  <c r="R36" i="6"/>
  <c r="I89" i="6"/>
  <c r="K88" i="6"/>
  <c r="P35" i="6" s="1"/>
  <c r="T35" i="6" s="1"/>
  <c r="E90" i="6"/>
  <c r="G89" i="6"/>
  <c r="E91" i="6" l="1"/>
  <c r="G90" i="6"/>
  <c r="I90" i="6"/>
  <c r="K89" i="6"/>
  <c r="P36" i="6" s="1"/>
  <c r="R37" i="6"/>
  <c r="Q37" i="6"/>
  <c r="S36" i="6"/>
  <c r="T36" i="6" l="1"/>
  <c r="S37" i="6"/>
  <c r="Q38" i="6"/>
  <c r="R38" i="6"/>
  <c r="I91" i="6"/>
  <c r="K90" i="6"/>
  <c r="P37" i="6" s="1"/>
  <c r="T37" i="6" s="1"/>
  <c r="E92" i="6"/>
  <c r="G91" i="6"/>
  <c r="E93" i="6" l="1"/>
  <c r="G93" i="6" s="1"/>
  <c r="G92" i="6"/>
  <c r="I92" i="6"/>
  <c r="K91" i="6"/>
  <c r="P38" i="6" s="1"/>
  <c r="R39" i="6"/>
  <c r="Q39" i="6"/>
  <c r="S38" i="6"/>
  <c r="T38" i="6" l="1"/>
  <c r="S39" i="6"/>
  <c r="Q40" i="6"/>
  <c r="R40" i="6"/>
  <c r="I93" i="6"/>
  <c r="K92" i="6"/>
  <c r="P39" i="6" s="1"/>
  <c r="T39" i="6" s="1"/>
  <c r="G28" i="6" l="1"/>
  <c r="K93" i="6"/>
  <c r="P40" i="6" s="1"/>
  <c r="G30" i="6"/>
  <c r="F26" i="6"/>
  <c r="S40" i="6"/>
  <c r="T40" i="6" l="1"/>
  <c r="F11" i="6"/>
  <c r="F14" i="6" s="1"/>
  <c r="F93" i="5" l="1"/>
  <c r="G93" i="5" s="1"/>
  <c r="F92" i="5"/>
  <c r="G92" i="5" s="1"/>
  <c r="F91" i="5"/>
  <c r="G91" i="5" s="1"/>
  <c r="F90" i="5"/>
  <c r="G90" i="5" s="1"/>
  <c r="F89" i="5"/>
  <c r="G89" i="5" s="1"/>
  <c r="F88" i="5"/>
  <c r="G88" i="5" s="1"/>
  <c r="F87" i="5"/>
  <c r="G87" i="5" s="1"/>
  <c r="F86" i="5"/>
  <c r="G86" i="5" s="1"/>
  <c r="F85" i="5"/>
  <c r="G85" i="5" s="1"/>
  <c r="F84" i="5"/>
  <c r="G84" i="5" s="1"/>
  <c r="F83" i="5"/>
  <c r="G83" i="5" s="1"/>
  <c r="F82" i="5"/>
  <c r="G82" i="5" s="1"/>
  <c r="F81" i="5"/>
  <c r="G81" i="5" s="1"/>
  <c r="F80" i="5"/>
  <c r="G80" i="5" s="1"/>
  <c r="F79" i="5"/>
  <c r="G79" i="5" s="1"/>
  <c r="F78" i="5"/>
  <c r="G78" i="5" s="1"/>
  <c r="I77" i="5"/>
  <c r="G77" i="5"/>
  <c r="F52" i="5"/>
  <c r="G59" i="5"/>
  <c r="F13" i="5"/>
  <c r="I78" i="5" l="1"/>
  <c r="I79" i="5" s="1"/>
  <c r="I80" i="5" s="1"/>
  <c r="I81" i="5" s="1"/>
  <c r="I82" i="5" s="1"/>
  <c r="I83" i="5" s="1"/>
  <c r="I84" i="5" s="1"/>
  <c r="I85" i="5" s="1"/>
  <c r="I86" i="5" s="1"/>
  <c r="I87" i="5" s="1"/>
  <c r="I88" i="5" s="1"/>
  <c r="I89" i="5" s="1"/>
  <c r="I90" i="5" s="1"/>
  <c r="I91" i="5" s="1"/>
  <c r="I92" i="5" s="1"/>
  <c r="I93" i="5" s="1"/>
  <c r="G51" i="5"/>
  <c r="F60" i="5"/>
  <c r="G61" i="5" s="1"/>
  <c r="G53" i="5"/>
  <c r="G30" i="5"/>
  <c r="S24" i="5"/>
  <c r="Q25" i="5"/>
  <c r="G28" i="5" l="1"/>
  <c r="R24" i="5"/>
  <c r="S25" i="5"/>
  <c r="Q24" i="5"/>
  <c r="Q26" i="5"/>
  <c r="F63" i="5"/>
  <c r="R26" i="5" l="1"/>
  <c r="R25" i="5"/>
  <c r="F26" i="5"/>
  <c r="K77" i="5"/>
  <c r="P24" i="5" s="1"/>
  <c r="T24" i="5" s="1"/>
  <c r="F33" i="5"/>
  <c r="K78" i="5"/>
  <c r="P25" i="5" s="1"/>
  <c r="T25" i="5" s="1"/>
  <c r="K82" i="5"/>
  <c r="P29" i="5" s="1"/>
  <c r="K86" i="5"/>
  <c r="P33" i="5" s="1"/>
  <c r="K90" i="5"/>
  <c r="P37" i="5" s="1"/>
  <c r="K81" i="5"/>
  <c r="P28" i="5" s="1"/>
  <c r="K85" i="5"/>
  <c r="P32" i="5" s="1"/>
  <c r="K89" i="5"/>
  <c r="P36" i="5" s="1"/>
  <c r="K93" i="5"/>
  <c r="P40" i="5" s="1"/>
  <c r="K80" i="5"/>
  <c r="P27" i="5" s="1"/>
  <c r="K84" i="5"/>
  <c r="P31" i="5" s="1"/>
  <c r="K88" i="5"/>
  <c r="P35" i="5" s="1"/>
  <c r="K92" i="5"/>
  <c r="P39" i="5" s="1"/>
  <c r="K79" i="5"/>
  <c r="P26" i="5" s="1"/>
  <c r="K83" i="5"/>
  <c r="P30" i="5" s="1"/>
  <c r="K87" i="5"/>
  <c r="P34" i="5" s="1"/>
  <c r="K91" i="5"/>
  <c r="P38" i="5" s="1"/>
  <c r="Q27" i="5"/>
  <c r="R27" i="5"/>
  <c r="S26" i="5"/>
  <c r="T26" i="5" l="1"/>
  <c r="S27" i="5"/>
  <c r="T27" i="5" s="1"/>
  <c r="R28" i="5"/>
  <c r="Q28" i="5"/>
  <c r="Q29" i="5" l="1"/>
  <c r="R29" i="5"/>
  <c r="S28" i="5"/>
  <c r="T28" i="5" s="1"/>
  <c r="S29" i="5" l="1"/>
  <c r="T29" i="5" s="1"/>
  <c r="R30" i="5"/>
  <c r="Q30" i="5" l="1"/>
  <c r="Q31" i="5"/>
  <c r="R31" i="5"/>
  <c r="S30" i="5"/>
  <c r="T30" i="5" l="1"/>
  <c r="S31" i="5"/>
  <c r="T31" i="5" s="1"/>
  <c r="R32" i="5"/>
  <c r="Q32" i="5" l="1"/>
  <c r="Q33" i="5"/>
  <c r="R33" i="5"/>
  <c r="S32" i="5"/>
  <c r="T32" i="5" l="1"/>
  <c r="S33" i="5"/>
  <c r="T33" i="5" s="1"/>
  <c r="R34" i="5"/>
  <c r="Q34" i="5" l="1"/>
  <c r="Q35" i="5"/>
  <c r="R35" i="5"/>
  <c r="S34" i="5"/>
  <c r="T34" i="5" l="1"/>
  <c r="S35" i="5"/>
  <c r="T35" i="5" s="1"/>
  <c r="R36" i="5"/>
  <c r="Q36" i="5" l="1"/>
  <c r="Q37" i="5"/>
  <c r="R37" i="5"/>
  <c r="S36" i="5"/>
  <c r="T36" i="5" l="1"/>
  <c r="S37" i="5"/>
  <c r="T37" i="5" s="1"/>
  <c r="R38" i="5"/>
  <c r="Q38" i="5" l="1"/>
  <c r="Q39" i="5"/>
  <c r="R39" i="5"/>
  <c r="S38" i="5"/>
  <c r="T38" i="5" l="1"/>
  <c r="S39" i="5"/>
  <c r="T39" i="5" s="1"/>
  <c r="R40" i="5"/>
  <c r="Q40" i="5" l="1"/>
  <c r="S40" i="5"/>
  <c r="T40" i="5" l="1"/>
  <c r="F11" i="5"/>
  <c r="F14" i="5" s="1"/>
  <c r="F87" i="4"/>
  <c r="F93" i="4" l="1"/>
  <c r="G93" i="4" s="1"/>
  <c r="F92" i="4"/>
  <c r="G92" i="4" s="1"/>
  <c r="F91" i="4"/>
  <c r="G91" i="4" s="1"/>
  <c r="F90" i="4"/>
  <c r="G90" i="4" s="1"/>
  <c r="F89" i="4"/>
  <c r="G89" i="4" s="1"/>
  <c r="F88" i="4"/>
  <c r="G88" i="4" s="1"/>
  <c r="G87" i="4"/>
  <c r="F86" i="4"/>
  <c r="G86" i="4" s="1"/>
  <c r="F85" i="4"/>
  <c r="G85" i="4" s="1"/>
  <c r="F84" i="4"/>
  <c r="G84" i="4" s="1"/>
  <c r="F83" i="4"/>
  <c r="G83" i="4" s="1"/>
  <c r="F82" i="4"/>
  <c r="G82" i="4" s="1"/>
  <c r="F81" i="4"/>
  <c r="G81" i="4" s="1"/>
  <c r="F80" i="4"/>
  <c r="G80" i="4" s="1"/>
  <c r="F79" i="4"/>
  <c r="G79" i="4" s="1"/>
  <c r="G78" i="4"/>
  <c r="I77" i="4"/>
  <c r="G77" i="4"/>
  <c r="F52" i="4"/>
  <c r="F60" i="4" s="1"/>
  <c r="F13" i="4"/>
  <c r="G59" i="4" l="1"/>
  <c r="G53" i="4"/>
  <c r="G61" i="4"/>
  <c r="G51" i="4"/>
  <c r="I78" i="4"/>
  <c r="S24" i="4"/>
  <c r="R26" i="4" l="1"/>
  <c r="F63" i="4"/>
  <c r="K77" i="4" s="1"/>
  <c r="P24" i="4" s="1"/>
  <c r="Q24" i="4"/>
  <c r="S25" i="4"/>
  <c r="Q26" i="4"/>
  <c r="Q25" i="4"/>
  <c r="I79" i="4"/>
  <c r="R25" i="4"/>
  <c r="R24" i="4" l="1"/>
  <c r="T24" i="4" s="1"/>
  <c r="K78" i="4"/>
  <c r="P25" i="4" s="1"/>
  <c r="T25" i="4" s="1"/>
  <c r="I80" i="4"/>
  <c r="K79" i="4"/>
  <c r="P26" i="4" s="1"/>
  <c r="R27" i="4"/>
  <c r="Q27" i="4"/>
  <c r="S26" i="4"/>
  <c r="T26" i="4" l="1"/>
  <c r="S27" i="4"/>
  <c r="Q28" i="4"/>
  <c r="R28" i="4"/>
  <c r="I81" i="4"/>
  <c r="K80" i="4"/>
  <c r="P27" i="4" s="1"/>
  <c r="T27" i="4" s="1"/>
  <c r="I82" i="4" l="1"/>
  <c r="K81" i="4"/>
  <c r="P28" i="4" s="1"/>
  <c r="R29" i="4"/>
  <c r="Q29" i="4"/>
  <c r="S28" i="4"/>
  <c r="T28" i="4" l="1"/>
  <c r="S29" i="4"/>
  <c r="Q30" i="4"/>
  <c r="R30" i="4"/>
  <c r="I83" i="4"/>
  <c r="K82" i="4"/>
  <c r="P29" i="4" s="1"/>
  <c r="T29" i="4" s="1"/>
  <c r="F33" i="4"/>
  <c r="I84" i="4" l="1"/>
  <c r="K83" i="4"/>
  <c r="P30" i="4" s="1"/>
  <c r="R31" i="4"/>
  <c r="Q31" i="4"/>
  <c r="S30" i="4"/>
  <c r="T30" i="4" l="1"/>
  <c r="S31" i="4"/>
  <c r="Q32" i="4"/>
  <c r="R32" i="4"/>
  <c r="I85" i="4"/>
  <c r="K84" i="4"/>
  <c r="P31" i="4" s="1"/>
  <c r="T31" i="4" s="1"/>
  <c r="I86" i="4" l="1"/>
  <c r="K85" i="4"/>
  <c r="P32" i="4" s="1"/>
  <c r="R33" i="4"/>
  <c r="Q33" i="4"/>
  <c r="S32" i="4"/>
  <c r="T32" i="4" l="1"/>
  <c r="S33" i="4"/>
  <c r="Q34" i="4"/>
  <c r="R34" i="4"/>
  <c r="I87" i="4"/>
  <c r="K86" i="4"/>
  <c r="P33" i="4" s="1"/>
  <c r="T33" i="4" s="1"/>
  <c r="I88" i="4" l="1"/>
  <c r="K87" i="4"/>
  <c r="P34" i="4" s="1"/>
  <c r="R35" i="4"/>
  <c r="Q35" i="4"/>
  <c r="S34" i="4"/>
  <c r="T34" i="4" l="1"/>
  <c r="S35" i="4"/>
  <c r="Q36" i="4"/>
  <c r="R36" i="4"/>
  <c r="I89" i="4"/>
  <c r="K88" i="4"/>
  <c r="P35" i="4" s="1"/>
  <c r="T35" i="4" s="1"/>
  <c r="I90" i="4" l="1"/>
  <c r="K89" i="4"/>
  <c r="P36" i="4" s="1"/>
  <c r="R37" i="4"/>
  <c r="Q37" i="4"/>
  <c r="S36" i="4"/>
  <c r="T36" i="4" l="1"/>
  <c r="S37" i="4"/>
  <c r="Q38" i="4"/>
  <c r="R38" i="4"/>
  <c r="I91" i="4"/>
  <c r="K90" i="4"/>
  <c r="P37" i="4" s="1"/>
  <c r="T37" i="4" s="1"/>
  <c r="I92" i="4" l="1"/>
  <c r="K91" i="4"/>
  <c r="P38" i="4" s="1"/>
  <c r="R39" i="4"/>
  <c r="Q39" i="4"/>
  <c r="S38" i="4"/>
  <c r="T38" i="4" l="1"/>
  <c r="S39" i="4"/>
  <c r="Q40" i="4"/>
  <c r="R40" i="4"/>
  <c r="I93" i="4"/>
  <c r="K92" i="4"/>
  <c r="P39" i="4" s="1"/>
  <c r="T39" i="4" s="1"/>
  <c r="G30" i="4" l="1"/>
  <c r="K93" i="4"/>
  <c r="P40" i="4" s="1"/>
  <c r="G28" i="4"/>
  <c r="F26" i="4"/>
  <c r="S40" i="4"/>
  <c r="T40" i="4" l="1"/>
  <c r="F11" i="4"/>
  <c r="F14" i="4" s="1"/>
  <c r="F60" i="3"/>
  <c r="E78" i="3" l="1"/>
  <c r="G78" i="3" s="1"/>
  <c r="I77" i="3"/>
  <c r="G77" i="3"/>
  <c r="F52" i="3"/>
  <c r="G53" i="3" s="1"/>
  <c r="F36" i="3"/>
  <c r="F13" i="3" s="1"/>
  <c r="G61" i="3" l="1"/>
  <c r="G59" i="3"/>
  <c r="G51" i="3"/>
  <c r="I78" i="3"/>
  <c r="E79" i="3"/>
  <c r="S24" i="3"/>
  <c r="F63" i="3" l="1"/>
  <c r="K78" i="3" s="1"/>
  <c r="P25" i="3" s="1"/>
  <c r="G79" i="3"/>
  <c r="E80" i="3"/>
  <c r="Q26" i="3"/>
  <c r="S25" i="3"/>
  <c r="I79" i="3"/>
  <c r="K77" i="3" l="1"/>
  <c r="P24" i="3" s="1"/>
  <c r="R25" i="3"/>
  <c r="R26" i="3"/>
  <c r="R24" i="3"/>
  <c r="R27" i="3"/>
  <c r="K79" i="3"/>
  <c r="P26" i="3" s="1"/>
  <c r="I80" i="3"/>
  <c r="Q27" i="3"/>
  <c r="S26" i="3"/>
  <c r="G80" i="3"/>
  <c r="E81" i="3"/>
  <c r="Q25" i="3" l="1"/>
  <c r="T25" i="3" s="1"/>
  <c r="Q24" i="3"/>
  <c r="T24" i="3" s="1"/>
  <c r="T26" i="3"/>
  <c r="E82" i="3"/>
  <c r="G81" i="3"/>
  <c r="I81" i="3"/>
  <c r="K80" i="3"/>
  <c r="P27" i="3" s="1"/>
  <c r="S27" i="3"/>
  <c r="Q28" i="3"/>
  <c r="R28" i="3"/>
  <c r="T27" i="3" l="1"/>
  <c r="R29" i="3"/>
  <c r="Q29" i="3"/>
  <c r="S28" i="3"/>
  <c r="I82" i="3"/>
  <c r="K81" i="3"/>
  <c r="P28" i="3" s="1"/>
  <c r="E83" i="3"/>
  <c r="G82" i="3"/>
  <c r="T28" i="3" l="1"/>
  <c r="E84" i="3"/>
  <c r="G83" i="3"/>
  <c r="I83" i="3"/>
  <c r="K82" i="3"/>
  <c r="P29" i="3" s="1"/>
  <c r="S29" i="3"/>
  <c r="Q30" i="3"/>
  <c r="R30" i="3"/>
  <c r="T29" i="3" l="1"/>
  <c r="R31" i="3"/>
  <c r="Q31" i="3"/>
  <c r="S30" i="3"/>
  <c r="I84" i="3"/>
  <c r="K83" i="3"/>
  <c r="P30" i="3" s="1"/>
  <c r="E85" i="3"/>
  <c r="G84" i="3"/>
  <c r="T30" i="3" l="1"/>
  <c r="E86" i="3"/>
  <c r="G85" i="3"/>
  <c r="I85" i="3"/>
  <c r="K84" i="3"/>
  <c r="P31" i="3" s="1"/>
  <c r="F33" i="3"/>
  <c r="S31" i="3"/>
  <c r="Q32" i="3"/>
  <c r="R32" i="3"/>
  <c r="T31" i="3" l="1"/>
  <c r="R33" i="3"/>
  <c r="Q33" i="3"/>
  <c r="S32" i="3"/>
  <c r="I86" i="3"/>
  <c r="K85" i="3"/>
  <c r="P32" i="3" s="1"/>
  <c r="E87" i="3"/>
  <c r="G86" i="3"/>
  <c r="T32" i="3" l="1"/>
  <c r="E88" i="3"/>
  <c r="G87" i="3"/>
  <c r="I87" i="3"/>
  <c r="K86" i="3"/>
  <c r="P33" i="3" s="1"/>
  <c r="S33" i="3"/>
  <c r="Q34" i="3"/>
  <c r="R34" i="3"/>
  <c r="T33" i="3" l="1"/>
  <c r="R35" i="3"/>
  <c r="Q35" i="3"/>
  <c r="S34" i="3"/>
  <c r="I88" i="3"/>
  <c r="K87" i="3"/>
  <c r="P34" i="3" s="1"/>
  <c r="E89" i="3"/>
  <c r="G88" i="3"/>
  <c r="T34" i="3" l="1"/>
  <c r="E90" i="3"/>
  <c r="G89" i="3"/>
  <c r="I89" i="3"/>
  <c r="K88" i="3"/>
  <c r="P35" i="3" s="1"/>
  <c r="S35" i="3"/>
  <c r="Q36" i="3"/>
  <c r="R36" i="3"/>
  <c r="T35" i="3" l="1"/>
  <c r="R37" i="3"/>
  <c r="Q37" i="3"/>
  <c r="S36" i="3"/>
  <c r="I90" i="3"/>
  <c r="K89" i="3"/>
  <c r="P36" i="3" s="1"/>
  <c r="T36" i="3" s="1"/>
  <c r="E91" i="3"/>
  <c r="G90" i="3"/>
  <c r="E92" i="3" l="1"/>
  <c r="G91" i="3"/>
  <c r="I91" i="3"/>
  <c r="K90" i="3"/>
  <c r="P37" i="3" s="1"/>
  <c r="S37" i="3"/>
  <c r="Q38" i="3"/>
  <c r="R38" i="3"/>
  <c r="T37" i="3" l="1"/>
  <c r="R39" i="3"/>
  <c r="Q39" i="3"/>
  <c r="S38" i="3"/>
  <c r="I92" i="3"/>
  <c r="K91" i="3"/>
  <c r="P38" i="3" s="1"/>
  <c r="E93" i="3"/>
  <c r="G93" i="3" s="1"/>
  <c r="G92" i="3"/>
  <c r="T38" i="3" l="1"/>
  <c r="I93" i="3"/>
  <c r="K92" i="3"/>
  <c r="P39" i="3" s="1"/>
  <c r="S39" i="3"/>
  <c r="Q40" i="3"/>
  <c r="R40" i="3"/>
  <c r="T39" i="3" l="1"/>
  <c r="S40" i="3"/>
  <c r="G30" i="3"/>
  <c r="K93" i="3"/>
  <c r="P40" i="3" s="1"/>
  <c r="G28" i="3"/>
  <c r="F26" i="3"/>
  <c r="T40" i="3" l="1"/>
  <c r="F11" i="3"/>
  <c r="F14" i="3" s="1"/>
  <c r="F36" i="2" l="1"/>
  <c r="H93" i="2"/>
  <c r="G93" i="2"/>
  <c r="H92" i="2"/>
  <c r="G92" i="2"/>
  <c r="H91" i="2"/>
  <c r="G91" i="2"/>
  <c r="H90" i="2"/>
  <c r="G90" i="2"/>
  <c r="H89" i="2"/>
  <c r="G89" i="2"/>
  <c r="H88" i="2"/>
  <c r="G88" i="2"/>
  <c r="H87" i="2"/>
  <c r="G87" i="2"/>
  <c r="H86" i="2"/>
  <c r="G86" i="2"/>
  <c r="H85" i="2"/>
  <c r="G85" i="2"/>
  <c r="H84" i="2"/>
  <c r="G84" i="2"/>
  <c r="H83" i="2"/>
  <c r="G83" i="2"/>
  <c r="G82" i="2"/>
  <c r="G81" i="2"/>
  <c r="G80" i="2"/>
  <c r="G79" i="2"/>
  <c r="G78" i="2"/>
  <c r="I77" i="2"/>
  <c r="G77" i="2"/>
  <c r="F60" i="2"/>
  <c r="F52" i="2"/>
  <c r="G53" i="2" s="1"/>
  <c r="F13" i="2"/>
  <c r="G59" i="2" l="1"/>
  <c r="G61" i="2"/>
  <c r="G51" i="2"/>
  <c r="I78" i="2"/>
  <c r="S24" i="2"/>
  <c r="R26" i="2" l="1"/>
  <c r="F63" i="2"/>
  <c r="K77" i="2" s="1"/>
  <c r="P24" i="2" s="1"/>
  <c r="Q24" i="2"/>
  <c r="S25" i="2"/>
  <c r="Q26" i="2"/>
  <c r="Q25" i="2"/>
  <c r="I79" i="2"/>
  <c r="R25" i="2" l="1"/>
  <c r="R24" i="2"/>
  <c r="T24" i="2" s="1"/>
  <c r="K78" i="2"/>
  <c r="P25" i="2" s="1"/>
  <c r="T25" i="2" s="1"/>
  <c r="I80" i="2"/>
  <c r="K79" i="2"/>
  <c r="P26" i="2" s="1"/>
  <c r="R27" i="2"/>
  <c r="Q27" i="2"/>
  <c r="S26" i="2"/>
  <c r="T26" i="2" l="1"/>
  <c r="S27" i="2"/>
  <c r="Q28" i="2"/>
  <c r="R28" i="2"/>
  <c r="I81" i="2"/>
  <c r="K80" i="2"/>
  <c r="P27" i="2" s="1"/>
  <c r="T27" i="2" s="1"/>
  <c r="I82" i="2" l="1"/>
  <c r="K81" i="2"/>
  <c r="P28" i="2" s="1"/>
  <c r="R29" i="2"/>
  <c r="Q29" i="2"/>
  <c r="S28" i="2"/>
  <c r="T28" i="2" l="1"/>
  <c r="S29" i="2"/>
  <c r="Q30" i="2"/>
  <c r="R30" i="2"/>
  <c r="I83" i="2"/>
  <c r="K82" i="2"/>
  <c r="P29" i="2" s="1"/>
  <c r="T29" i="2" s="1"/>
  <c r="I84" i="2" l="1"/>
  <c r="K83" i="2"/>
  <c r="P30" i="2" s="1"/>
  <c r="R31" i="2"/>
  <c r="Q31" i="2"/>
  <c r="S30" i="2"/>
  <c r="T30" i="2" l="1"/>
  <c r="S31" i="2"/>
  <c r="Q32" i="2"/>
  <c r="R32" i="2"/>
  <c r="I85" i="2"/>
  <c r="K84" i="2"/>
  <c r="P31" i="2" s="1"/>
  <c r="T31" i="2" s="1"/>
  <c r="I86" i="2" l="1"/>
  <c r="K85" i="2"/>
  <c r="P32" i="2" s="1"/>
  <c r="R33" i="2"/>
  <c r="Q33" i="2"/>
  <c r="S32" i="2"/>
  <c r="T32" i="2" l="1"/>
  <c r="S33" i="2"/>
  <c r="Q34" i="2"/>
  <c r="R34" i="2"/>
  <c r="I87" i="2"/>
  <c r="K86" i="2"/>
  <c r="P33" i="2" s="1"/>
  <c r="T33" i="2" s="1"/>
  <c r="I88" i="2" l="1"/>
  <c r="K87" i="2"/>
  <c r="P34" i="2" s="1"/>
  <c r="F33" i="2"/>
  <c r="R35" i="2"/>
  <c r="Q35" i="2"/>
  <c r="S34" i="2"/>
  <c r="T34" i="2" l="1"/>
  <c r="S35" i="2"/>
  <c r="Q36" i="2"/>
  <c r="R36" i="2"/>
  <c r="I89" i="2"/>
  <c r="K88" i="2"/>
  <c r="P35" i="2" s="1"/>
  <c r="T35" i="2" s="1"/>
  <c r="I90" i="2" l="1"/>
  <c r="K89" i="2"/>
  <c r="P36" i="2" s="1"/>
  <c r="R37" i="2"/>
  <c r="Q37" i="2"/>
  <c r="S36" i="2"/>
  <c r="T36" i="2" l="1"/>
  <c r="S37" i="2"/>
  <c r="Q38" i="2"/>
  <c r="R38" i="2"/>
  <c r="I91" i="2"/>
  <c r="K90" i="2"/>
  <c r="P37" i="2" s="1"/>
  <c r="T37" i="2" s="1"/>
  <c r="I92" i="2" l="1"/>
  <c r="K91" i="2"/>
  <c r="P38" i="2" s="1"/>
  <c r="R39" i="2"/>
  <c r="Q39" i="2"/>
  <c r="S38" i="2"/>
  <c r="T38" i="2" l="1"/>
  <c r="S39" i="2"/>
  <c r="Q40" i="2"/>
  <c r="R40" i="2"/>
  <c r="I93" i="2"/>
  <c r="K92" i="2"/>
  <c r="P39" i="2" s="1"/>
  <c r="T39" i="2" s="1"/>
  <c r="G30" i="2" l="1"/>
  <c r="K93" i="2"/>
  <c r="P40" i="2" s="1"/>
  <c r="G28" i="2"/>
  <c r="F26" i="2"/>
  <c r="S40" i="2"/>
  <c r="F11" i="2" l="1"/>
  <c r="F14" i="2" s="1"/>
  <c r="T40" i="2"/>
  <c r="F36" i="1"/>
  <c r="G93" i="1" l="1"/>
  <c r="G92" i="1"/>
  <c r="G91" i="1"/>
  <c r="G90" i="1"/>
  <c r="G89" i="1"/>
  <c r="G88" i="1"/>
  <c r="G87" i="1"/>
  <c r="G86" i="1"/>
  <c r="G85" i="1"/>
  <c r="G84" i="1"/>
  <c r="G83" i="1"/>
  <c r="G82" i="1"/>
  <c r="G81" i="1"/>
  <c r="G80" i="1"/>
  <c r="G79" i="1"/>
  <c r="G78" i="1"/>
  <c r="I77" i="1"/>
  <c r="I78" i="1" s="1"/>
  <c r="G77" i="1"/>
  <c r="F58" i="1"/>
  <c r="F50" i="1"/>
  <c r="G53" i="1"/>
  <c r="F13" i="1"/>
  <c r="G59" i="1" l="1"/>
  <c r="I79" i="1"/>
  <c r="G51" i="1"/>
  <c r="G61" i="1"/>
  <c r="S24" i="1"/>
  <c r="R24" i="1" l="1"/>
  <c r="F63" i="1"/>
  <c r="K77" i="1" s="1"/>
  <c r="P24" i="1" s="1"/>
  <c r="Q26" i="1"/>
  <c r="S25" i="1"/>
  <c r="I80" i="1"/>
  <c r="R25" i="1" l="1"/>
  <c r="R26" i="1"/>
  <c r="K79" i="1"/>
  <c r="P26" i="1" s="1"/>
  <c r="K78" i="1"/>
  <c r="P25" i="1" s="1"/>
  <c r="I81" i="1"/>
  <c r="K80" i="1"/>
  <c r="P27" i="1" s="1"/>
  <c r="Q24" i="1"/>
  <c r="T24" i="1" s="1"/>
  <c r="Q25" i="1"/>
  <c r="Q27" i="1"/>
  <c r="S26" i="1"/>
  <c r="R27" i="1"/>
  <c r="T26" i="1" l="1"/>
  <c r="T25" i="1"/>
  <c r="R28" i="1"/>
  <c r="S27" i="1"/>
  <c r="T27" i="1" s="1"/>
  <c r="Q28" i="1"/>
  <c r="I82" i="1"/>
  <c r="K81" i="1"/>
  <c r="P28" i="1" s="1"/>
  <c r="I83" i="1" l="1"/>
  <c r="K82" i="1"/>
  <c r="P29" i="1" s="1"/>
  <c r="Q29" i="1"/>
  <c r="S28" i="1"/>
  <c r="T28" i="1" s="1"/>
  <c r="R29" i="1"/>
  <c r="R30" i="1" l="1"/>
  <c r="S29" i="1"/>
  <c r="T29" i="1" s="1"/>
  <c r="Q30" i="1"/>
  <c r="I84" i="1"/>
  <c r="K83" i="1"/>
  <c r="P30" i="1" s="1"/>
  <c r="I85" i="1" l="1"/>
  <c r="K84" i="1"/>
  <c r="P31" i="1" s="1"/>
  <c r="Q31" i="1"/>
  <c r="S30" i="1"/>
  <c r="T30" i="1" s="1"/>
  <c r="R31" i="1"/>
  <c r="R32" i="1" l="1"/>
  <c r="S31" i="1"/>
  <c r="T31" i="1" s="1"/>
  <c r="Q32" i="1"/>
  <c r="I86" i="1"/>
  <c r="K85" i="1"/>
  <c r="P32" i="1" s="1"/>
  <c r="I87" i="1" l="1"/>
  <c r="K86" i="1"/>
  <c r="P33" i="1" s="1"/>
  <c r="Q33" i="1"/>
  <c r="S32" i="1"/>
  <c r="T32" i="1" s="1"/>
  <c r="R33" i="1"/>
  <c r="R34" i="1" l="1"/>
  <c r="S33" i="1"/>
  <c r="T33" i="1" s="1"/>
  <c r="Q34" i="1"/>
  <c r="I88" i="1"/>
  <c r="K87" i="1"/>
  <c r="P34" i="1" s="1"/>
  <c r="F33" i="1"/>
  <c r="I89" i="1" l="1"/>
  <c r="K88" i="1"/>
  <c r="P35" i="1" s="1"/>
  <c r="Q35" i="1"/>
  <c r="S34" i="1"/>
  <c r="T34" i="1" s="1"/>
  <c r="R35" i="1"/>
  <c r="R36" i="1" l="1"/>
  <c r="S35" i="1"/>
  <c r="T35" i="1" s="1"/>
  <c r="Q36" i="1"/>
  <c r="I90" i="1"/>
  <c r="K89" i="1"/>
  <c r="P36" i="1" s="1"/>
  <c r="I91" i="1" l="1"/>
  <c r="K90" i="1"/>
  <c r="P37" i="1" s="1"/>
  <c r="Q37" i="1"/>
  <c r="S36" i="1"/>
  <c r="T36" i="1" s="1"/>
  <c r="R37" i="1"/>
  <c r="R38" i="1" l="1"/>
  <c r="S37" i="1"/>
  <c r="T37" i="1" s="1"/>
  <c r="Q38" i="1"/>
  <c r="I92" i="1"/>
  <c r="K91" i="1"/>
  <c r="P38" i="1" s="1"/>
  <c r="I93" i="1" l="1"/>
  <c r="K92" i="1"/>
  <c r="P39" i="1" s="1"/>
  <c r="Q39" i="1"/>
  <c r="S38" i="1"/>
  <c r="T38" i="1" s="1"/>
  <c r="R39" i="1"/>
  <c r="R40" i="1" l="1"/>
  <c r="S39" i="1"/>
  <c r="T39" i="1" s="1"/>
  <c r="Q40" i="1"/>
  <c r="G28" i="1"/>
  <c r="K93" i="1"/>
  <c r="P40" i="1" s="1"/>
  <c r="G30" i="1"/>
  <c r="F26" i="1"/>
  <c r="S40" i="1" l="1"/>
  <c r="T40" i="1" s="1"/>
  <c r="F11" i="1" l="1"/>
  <c r="F14" i="1" s="1"/>
</calcChain>
</file>

<file path=xl/sharedStrings.xml><?xml version="1.0" encoding="utf-8"?>
<sst xmlns="http://schemas.openxmlformats.org/spreadsheetml/2006/main" count="874" uniqueCount="143">
  <si>
    <t>NEDO使用欄</t>
    <rPh sb="4" eb="6">
      <t>シヨウ</t>
    </rPh>
    <rPh sb="6" eb="7">
      <t>ラン</t>
    </rPh>
    <phoneticPr fontId="6"/>
  </si>
  <si>
    <t>（様式４）別紙２</t>
    <rPh sb="1" eb="3">
      <t>ヨウシキ</t>
    </rPh>
    <rPh sb="5" eb="7">
      <t>ベッシ</t>
    </rPh>
    <phoneticPr fontId="2"/>
  </si>
  <si>
    <t>省エネルギー効果量</t>
    <rPh sb="0" eb="1">
      <t>ショウ</t>
    </rPh>
    <rPh sb="6" eb="9">
      <t>コウカリョウ</t>
    </rPh>
    <phoneticPr fontId="6"/>
  </si>
  <si>
    <t>効果量算出(全市場サマリー)</t>
    <rPh sb="0" eb="2">
      <t>コウカ</t>
    </rPh>
    <rPh sb="2" eb="3">
      <t>リョウ</t>
    </rPh>
    <rPh sb="3" eb="5">
      <t>サンシュツ</t>
    </rPh>
    <rPh sb="6" eb="7">
      <t>ゼン</t>
    </rPh>
    <rPh sb="7" eb="9">
      <t>シジョウ</t>
    </rPh>
    <phoneticPr fontId="2"/>
  </si>
  <si>
    <t>種別</t>
    <rPh sb="0" eb="2">
      <t>シュベツ</t>
    </rPh>
    <phoneticPr fontId="2"/>
  </si>
  <si>
    <t>化石 or 非化石</t>
    <rPh sb="0" eb="2">
      <t>カセキ</t>
    </rPh>
    <rPh sb="6" eb="9">
      <t>ヒカセキ</t>
    </rPh>
    <phoneticPr fontId="2"/>
  </si>
  <si>
    <t>化石</t>
    <rPh sb="0" eb="2">
      <t>カセキ</t>
    </rPh>
    <phoneticPr fontId="2"/>
  </si>
  <si>
    <t>転換・供給サイド or 需要サイド</t>
    <rPh sb="12" eb="14">
      <t>ジュヨウ</t>
    </rPh>
    <phoneticPr fontId="2"/>
  </si>
  <si>
    <t>需要サイド</t>
    <rPh sb="0" eb="2">
      <t>ジュヨウ</t>
    </rPh>
    <phoneticPr fontId="2"/>
  </si>
  <si>
    <t>燃料　or熱　or電力</t>
    <phoneticPr fontId="2"/>
  </si>
  <si>
    <t>電力</t>
    <rPh sb="0" eb="2">
      <t>デンリョク</t>
    </rPh>
    <phoneticPr fontId="2"/>
  </si>
  <si>
    <t>2040年度の国内における省エネルギー効果量</t>
    <rPh sb="4" eb="6">
      <t>ネンド</t>
    </rPh>
    <rPh sb="7" eb="9">
      <t>コクナイ</t>
    </rPh>
    <rPh sb="13" eb="14">
      <t>ショウ</t>
    </rPh>
    <rPh sb="19" eb="22">
      <t>コウカリョウ</t>
    </rPh>
    <phoneticPr fontId="2"/>
  </si>
  <si>
    <t>指標Ａ×指標Ｂ＝</t>
    <rPh sb="0" eb="2">
      <t>シヒョウ</t>
    </rPh>
    <rPh sb="4" eb="6">
      <t>シヒョウ</t>
    </rPh>
    <phoneticPr fontId="2"/>
  </si>
  <si>
    <t>万kL/年</t>
    <rPh sb="0" eb="1">
      <t>マン</t>
    </rPh>
    <rPh sb="4" eb="5">
      <t>ネン</t>
    </rPh>
    <phoneticPr fontId="2"/>
  </si>
  <si>
    <t>2040年度の海外における省エネルギー効果量(参考値)</t>
    <rPh sb="4" eb="6">
      <t>ネンド</t>
    </rPh>
    <rPh sb="7" eb="9">
      <t>カイガイ</t>
    </rPh>
    <rPh sb="13" eb="14">
      <t>ショウ</t>
    </rPh>
    <rPh sb="19" eb="22">
      <t>コウカリョウ</t>
    </rPh>
    <rPh sb="23" eb="25">
      <t>サンコウ</t>
    </rPh>
    <rPh sb="25" eb="26">
      <t>アタイ</t>
    </rPh>
    <phoneticPr fontId="2"/>
  </si>
  <si>
    <t>算出根拠まとめ</t>
    <rPh sb="0" eb="4">
      <t>サンシュツコンキョ</t>
    </rPh>
    <phoneticPr fontId="2"/>
  </si>
  <si>
    <t>○想定市場1</t>
    <rPh sb="1" eb="3">
      <t>ソウテイ</t>
    </rPh>
    <rPh sb="3" eb="5">
      <t>シジョウ</t>
    </rPh>
    <phoneticPr fontId="2"/>
  </si>
  <si>
    <t>1-1.効果量算出(市場1サマリー)</t>
    <rPh sb="4" eb="6">
      <t>コウカ</t>
    </rPh>
    <rPh sb="6" eb="7">
      <t>リョウ</t>
    </rPh>
    <rPh sb="7" eb="9">
      <t>サンシュツ</t>
    </rPh>
    <rPh sb="10" eb="12">
      <t>シジョウ</t>
    </rPh>
    <phoneticPr fontId="2"/>
  </si>
  <si>
    <t>提案の製品名・サービス名</t>
    <rPh sb="3" eb="6">
      <t>セイヒンメイ</t>
    </rPh>
    <rPh sb="11" eb="12">
      <t>メイ</t>
    </rPh>
    <phoneticPr fontId="2"/>
  </si>
  <si>
    <t>高機能接合剤の開発による電子部品熱処理工程の省エネルギー</t>
    <phoneticPr fontId="6"/>
  </si>
  <si>
    <t>2040年度の省エネルギー効果量(従来技術)</t>
    <rPh sb="4" eb="6">
      <t>ネンド</t>
    </rPh>
    <rPh sb="7" eb="8">
      <t>ショウ</t>
    </rPh>
    <rPh sb="13" eb="16">
      <t>コウカリョウ</t>
    </rPh>
    <rPh sb="17" eb="19">
      <t>ジュウライ</t>
    </rPh>
    <rPh sb="19" eb="21">
      <t>ギジュツ</t>
    </rPh>
    <phoneticPr fontId="2"/>
  </si>
  <si>
    <t>2040年度の省エネルギー効果量(提案技術)</t>
    <rPh sb="4" eb="6">
      <t>ネンド</t>
    </rPh>
    <rPh sb="7" eb="8">
      <t>ショウ</t>
    </rPh>
    <rPh sb="13" eb="16">
      <t>コウカリョウ</t>
    </rPh>
    <rPh sb="17" eb="19">
      <t>テイアン</t>
    </rPh>
    <rPh sb="19" eb="21">
      <t>ギジュツ</t>
    </rPh>
    <phoneticPr fontId="2"/>
  </si>
  <si>
    <t>販売開始3年後の国内における省エネルギー効果量</t>
    <rPh sb="0" eb="2">
      <t>ハンバイ</t>
    </rPh>
    <rPh sb="2" eb="4">
      <t>カイシ</t>
    </rPh>
    <rPh sb="5" eb="7">
      <t>ネンゴ</t>
    </rPh>
    <rPh sb="14" eb="15">
      <t>ショウ</t>
    </rPh>
    <rPh sb="20" eb="22">
      <t>コウカ</t>
    </rPh>
    <rPh sb="22" eb="23">
      <t>リョウ</t>
    </rPh>
    <phoneticPr fontId="2"/>
  </si>
  <si>
    <t>販売開始(目標)</t>
    <rPh sb="0" eb="4">
      <t>ハンバイカイシ</t>
    </rPh>
    <rPh sb="5" eb="7">
      <t>モクヒョウ</t>
    </rPh>
    <phoneticPr fontId="2"/>
  </si>
  <si>
    <t>年</t>
    <rPh sb="0" eb="1">
      <t>ネン</t>
    </rPh>
    <phoneticPr fontId="2"/>
  </si>
  <si>
    <t>2040年度の海外における省エネルギー効果量(参考値)</t>
    <rPh sb="4" eb="6">
      <t>ネンド</t>
    </rPh>
    <rPh sb="7" eb="9">
      <t>カイガイ</t>
    </rPh>
    <rPh sb="13" eb="14">
      <t>ショウ</t>
    </rPh>
    <rPh sb="19" eb="22">
      <t>コウカリョウ</t>
    </rPh>
    <phoneticPr fontId="2"/>
  </si>
  <si>
    <t>指標B(海外)の根拠</t>
    <rPh sb="0" eb="2">
      <t>シヒョウ</t>
    </rPh>
    <rPh sb="4" eb="6">
      <t>カイガイ</t>
    </rPh>
    <rPh sb="8" eb="10">
      <t>コンキョ</t>
    </rPh>
    <phoneticPr fontId="6"/>
  </si>
  <si>
    <t>1-2.指標A（単位あたりの省エネルギー）</t>
    <rPh sb="4" eb="6">
      <t>シヒョウ</t>
    </rPh>
    <rPh sb="8" eb="10">
      <t>タンイ</t>
    </rPh>
    <rPh sb="14" eb="15">
      <t>ショウ</t>
    </rPh>
    <phoneticPr fontId="2"/>
  </si>
  <si>
    <t>(1)算出根拠</t>
    <rPh sb="3" eb="7">
      <t>サンシュツコンキョ</t>
    </rPh>
    <phoneticPr fontId="2"/>
  </si>
  <si>
    <t>定数</t>
    <rPh sb="0" eb="2">
      <t>テイスウ</t>
    </rPh>
    <phoneticPr fontId="2"/>
  </si>
  <si>
    <t>・電力受電端発熱量</t>
    <rPh sb="1" eb="9">
      <t>デンリョクジュデンタンハツネツリョウ</t>
    </rPh>
    <phoneticPr fontId="2"/>
  </si>
  <si>
    <t>MJ/kWh</t>
    <phoneticPr fontId="6"/>
  </si>
  <si>
    <t>・原油への換算</t>
    <rPh sb="1" eb="3">
      <t>ゲンユ</t>
    </rPh>
    <rPh sb="5" eb="7">
      <t>カンサン</t>
    </rPh>
    <phoneticPr fontId="2"/>
  </si>
  <si>
    <r>
      <t>×10</t>
    </r>
    <r>
      <rPr>
        <vertAlign val="superscript"/>
        <sz val="10.5"/>
        <color theme="1"/>
        <rFont val="游ゴシック"/>
        <family val="3"/>
        <charset val="128"/>
        <scheme val="minor"/>
      </rPr>
      <t>-5</t>
    </r>
    <r>
      <rPr>
        <sz val="10.5"/>
        <color theme="1"/>
        <rFont val="游ゴシック"/>
        <family val="3"/>
        <charset val="128"/>
        <scheme val="minor"/>
      </rPr>
      <t xml:space="preserve"> kL/MJ</t>
    </r>
    <phoneticPr fontId="6"/>
  </si>
  <si>
    <t>(2)従来技術での1単位1年あたりのエネルギー消費量から原油へ換算</t>
    <rPh sb="3" eb="5">
      <t>ジュウライ</t>
    </rPh>
    <rPh sb="5" eb="7">
      <t>ギジュツ</t>
    </rPh>
    <rPh sb="10" eb="12">
      <t>タンイ</t>
    </rPh>
    <rPh sb="13" eb="14">
      <t>ネン</t>
    </rPh>
    <rPh sb="23" eb="26">
      <t>ショウヒリョウ</t>
    </rPh>
    <rPh sb="28" eb="30">
      <t>ゲンユ</t>
    </rPh>
    <rPh sb="31" eb="33">
      <t>カンサン</t>
    </rPh>
    <phoneticPr fontId="2"/>
  </si>
  <si>
    <t>・従来技術内容</t>
    <rPh sb="1" eb="3">
      <t>ジュウライ</t>
    </rPh>
    <rPh sb="3" eb="5">
      <t>ギジュツ</t>
    </rPh>
    <rPh sb="5" eb="7">
      <t>ナイヨウ</t>
    </rPh>
    <phoneticPr fontId="2"/>
  </si>
  <si>
    <t>従来接合剤の熱処理条件
　加熱保持温度：300℃／熱処理時間：60分
　　→消費電力200ｋW（実測）</t>
    <rPh sb="0" eb="2">
      <t>ジュウライ</t>
    </rPh>
    <rPh sb="2" eb="5">
      <t>セツゴウザイ</t>
    </rPh>
    <rPh sb="6" eb="9">
      <t>ネツショリ</t>
    </rPh>
    <rPh sb="9" eb="11">
      <t>ジョウケン</t>
    </rPh>
    <rPh sb="13" eb="15">
      <t>カネツ</t>
    </rPh>
    <rPh sb="15" eb="17">
      <t>ホジ</t>
    </rPh>
    <rPh sb="17" eb="19">
      <t>オンド</t>
    </rPh>
    <rPh sb="25" eb="28">
      <t>ネツショリ</t>
    </rPh>
    <rPh sb="28" eb="30">
      <t>ジカン</t>
    </rPh>
    <rPh sb="33" eb="34">
      <t>フン</t>
    </rPh>
    <rPh sb="38" eb="40">
      <t>ショウヒ</t>
    </rPh>
    <rPh sb="40" eb="42">
      <t>デンリョク</t>
    </rPh>
    <rPh sb="48" eb="50">
      <t>ジッソク</t>
    </rPh>
    <phoneticPr fontId="6"/>
  </si>
  <si>
    <t>・消費電力</t>
    <rPh sb="1" eb="3">
      <t>ショウヒ</t>
    </rPh>
    <rPh sb="3" eb="5">
      <t>デンリョク</t>
    </rPh>
    <phoneticPr fontId="2"/>
  </si>
  <si>
    <t>kWh</t>
    <phoneticPr fontId="2"/>
  </si>
  <si>
    <t>kL/個/年</t>
    <rPh sb="3" eb="4">
      <t>コ</t>
    </rPh>
    <rPh sb="5" eb="6">
      <t>ネン</t>
    </rPh>
    <phoneticPr fontId="2"/>
  </si>
  <si>
    <t>①</t>
    <phoneticPr fontId="2"/>
  </si>
  <si>
    <t>・エネルギー消費量</t>
    <rPh sb="6" eb="9">
      <t>ショウヒリョウ</t>
    </rPh>
    <phoneticPr fontId="2"/>
  </si>
  <si>
    <t>MJ</t>
    <phoneticPr fontId="2"/>
  </si>
  <si>
    <t>(3)今回の開発技術での1単位1年あたりのエネルギー消費量から原油へ換算</t>
    <rPh sb="3" eb="5">
      <t>コンカイ</t>
    </rPh>
    <rPh sb="6" eb="8">
      <t>カイハツ</t>
    </rPh>
    <rPh sb="8" eb="10">
      <t>ギジュツ</t>
    </rPh>
    <rPh sb="13" eb="15">
      <t>タンイ</t>
    </rPh>
    <rPh sb="16" eb="17">
      <t>ネン</t>
    </rPh>
    <rPh sb="26" eb="29">
      <t>ショウヒリョウ</t>
    </rPh>
    <rPh sb="31" eb="33">
      <t>ゲンユ</t>
    </rPh>
    <rPh sb="34" eb="36">
      <t>カンサン</t>
    </rPh>
    <phoneticPr fontId="2"/>
  </si>
  <si>
    <t>・提案技術内容</t>
    <rPh sb="1" eb="3">
      <t>テイアン</t>
    </rPh>
    <rPh sb="3" eb="5">
      <t>ギジュツ</t>
    </rPh>
    <rPh sb="5" eb="7">
      <t>ナイヨウ</t>
    </rPh>
    <phoneticPr fontId="2"/>
  </si>
  <si>
    <t>高機能接合剤の熱処理条件
　加熱保持温度：250℃／熱処理時間：15分
　　→消費電力40ｋW（試算、時間平均）</t>
    <rPh sb="0" eb="3">
      <t>コウキノウ</t>
    </rPh>
    <phoneticPr fontId="6"/>
  </si>
  <si>
    <t>②</t>
    <phoneticPr fontId="2"/>
  </si>
  <si>
    <t>指標A：</t>
    <rPh sb="0" eb="2">
      <t>シヒョウ</t>
    </rPh>
    <phoneticPr fontId="2"/>
  </si>
  <si>
    <t>①－②</t>
    <phoneticPr fontId="2"/>
  </si>
  <si>
    <t>1-3.指標B（2040年度時点の国内における市場導入（普及）量）</t>
    <rPh sb="4" eb="6">
      <t>シヒョウ</t>
    </rPh>
    <rPh sb="12" eb="14">
      <t>ネンド</t>
    </rPh>
    <rPh sb="14" eb="16">
      <t>ジテン</t>
    </rPh>
    <rPh sb="23" eb="25">
      <t>シジョウ</t>
    </rPh>
    <rPh sb="25" eb="27">
      <t>ドウニュウ</t>
    </rPh>
    <rPh sb="28" eb="30">
      <t>フキュウ</t>
    </rPh>
    <rPh sb="31" eb="32">
      <t>リョウ</t>
    </rPh>
    <phoneticPr fontId="2"/>
  </si>
  <si>
    <t>(2)ターゲット市場：</t>
    <rPh sb="8" eb="10">
      <t>シジョウ</t>
    </rPh>
    <phoneticPr fontId="2"/>
  </si>
  <si>
    <t>国内対象熱処理炉台数1000台</t>
    <phoneticPr fontId="6"/>
  </si>
  <si>
    <t>1-4.</t>
    <phoneticPr fontId="6"/>
  </si>
  <si>
    <t>(3)国内における累計（ストック）量</t>
    <phoneticPr fontId="2"/>
  </si>
  <si>
    <t>年度</t>
    <rPh sb="0" eb="2">
      <t>ネンド</t>
    </rPh>
    <phoneticPr fontId="2"/>
  </si>
  <si>
    <t xml:space="preserve"> 製品／サービスの市場導入量</t>
    <rPh sb="1" eb="3">
      <t>セイヒン</t>
    </rPh>
    <rPh sb="9" eb="11">
      <t>シジョウ</t>
    </rPh>
    <rPh sb="11" eb="13">
      <t>ドウニュウ</t>
    </rPh>
    <rPh sb="13" eb="14">
      <t>リョウ</t>
    </rPh>
    <phoneticPr fontId="2"/>
  </si>
  <si>
    <t>本開発技術による製品／サービスの市場導入量・シェア</t>
    <rPh sb="0" eb="1">
      <t>ホン</t>
    </rPh>
    <rPh sb="1" eb="3">
      <t>カイハツ</t>
    </rPh>
    <rPh sb="3" eb="5">
      <t>ギジュツ</t>
    </rPh>
    <phoneticPr fontId="2"/>
  </si>
  <si>
    <t>寿命等による
廃棄量</t>
    <rPh sb="0" eb="3">
      <t>ジュミョウナド</t>
    </rPh>
    <rPh sb="7" eb="10">
      <t>ハイキリョウ</t>
    </rPh>
    <phoneticPr fontId="2"/>
  </si>
  <si>
    <t>累計（ストック）量</t>
    <rPh sb="0" eb="2">
      <t>ルイケイ</t>
    </rPh>
    <rPh sb="8" eb="9">
      <t>リョウ</t>
    </rPh>
    <phoneticPr fontId="2"/>
  </si>
  <si>
    <t>指標A×B</t>
    <rPh sb="0" eb="2">
      <t>シヒョウ</t>
    </rPh>
    <phoneticPr fontId="2"/>
  </si>
  <si>
    <t>(国内, 市場全体)</t>
    <rPh sb="1" eb="3">
      <t>コクナイ</t>
    </rPh>
    <phoneticPr fontId="6"/>
  </si>
  <si>
    <t>市場導入量</t>
    <rPh sb="0" eb="2">
      <t>シジョウ</t>
    </rPh>
    <rPh sb="2" eb="4">
      <t>ドウニュウ</t>
    </rPh>
    <rPh sb="4" eb="5">
      <t>リョウ</t>
    </rPh>
    <phoneticPr fontId="2"/>
  </si>
  <si>
    <t>シェア（％）</t>
    <phoneticPr fontId="2"/>
  </si>
  <si>
    <t>個</t>
    <rPh sb="0" eb="1">
      <t>コ</t>
    </rPh>
    <phoneticPr fontId="6"/>
  </si>
  <si>
    <t>万kL/年</t>
    <rPh sb="0" eb="1">
      <t>マン</t>
    </rPh>
    <rPh sb="4" eb="5">
      <t>ネン</t>
    </rPh>
    <phoneticPr fontId="6"/>
  </si>
  <si>
    <t>2040年の市場ストック量 
　　国内対象熱処理炉台数1000台～2040年まで一定と想定 
　　社内適用＋社外販売（・標準化）で導入量を拡大する
 　　　→2040年までにシェア40%～400台を計画
【省エネルギー効果】
　　指標A×指標B＝308.15 kL/台×400台＝12.33万ｋL/年</t>
    <rPh sb="21" eb="25">
      <t>ネツショリロ</t>
    </rPh>
    <rPh sb="37" eb="38">
      <t>ネン</t>
    </rPh>
    <rPh sb="40" eb="42">
      <t>イッテイ</t>
    </rPh>
    <rPh sb="43" eb="45">
      <t>ソウテイ</t>
    </rPh>
    <rPh sb="83" eb="84">
      <t>ネン</t>
    </rPh>
    <rPh sb="99" eb="101">
      <t>ケイカク</t>
    </rPh>
    <rPh sb="104" eb="105">
      <t>ショウ</t>
    </rPh>
    <rPh sb="110" eb="112">
      <t>コウカ</t>
    </rPh>
    <rPh sb="116" eb="118">
      <t>シヒョウ</t>
    </rPh>
    <rPh sb="120" eb="122">
      <t>シヒョウ</t>
    </rPh>
    <rPh sb="139" eb="140">
      <t>ダイ</t>
    </rPh>
    <phoneticPr fontId="6"/>
  </si>
  <si>
    <t>国内より５年遅れで２倍を想定</t>
    <rPh sb="0" eb="2">
      <t>コクナイ</t>
    </rPh>
    <rPh sb="5" eb="6">
      <t>ネン</t>
    </rPh>
    <rPh sb="6" eb="7">
      <t>オク</t>
    </rPh>
    <rPh sb="10" eb="11">
      <t>バイ</t>
    </rPh>
    <rPh sb="12" eb="14">
      <t>ソウテイ</t>
    </rPh>
    <phoneticPr fontId="6"/>
  </si>
  <si>
    <t>原料M1(石油化学品)→中間原料M2→基礎化学品X</t>
    <rPh sb="0" eb="2">
      <t>ゲンリョウ</t>
    </rPh>
    <rPh sb="5" eb="7">
      <t>セキユ</t>
    </rPh>
    <rPh sb="7" eb="10">
      <t>カガクヒン</t>
    </rPh>
    <rPh sb="12" eb="14">
      <t>チュウカン</t>
    </rPh>
    <rPh sb="14" eb="16">
      <t>ゲンリョウ</t>
    </rPh>
    <rPh sb="19" eb="21">
      <t>キソ</t>
    </rPh>
    <rPh sb="21" eb="24">
      <t>カガクヒン</t>
    </rPh>
    <phoneticPr fontId="6"/>
  </si>
  <si>
    <t>原料糖(バイオマス由来)→バイオ変換工程→濃縮精製工程(蒸留＋膜)</t>
    <rPh sb="0" eb="2">
      <t>ゲンリョウ</t>
    </rPh>
    <rPh sb="2" eb="3">
      <t>トウ</t>
    </rPh>
    <rPh sb="9" eb="11">
      <t>ユライ</t>
    </rPh>
    <rPh sb="16" eb="18">
      <t>ヘンカン</t>
    </rPh>
    <rPh sb="18" eb="20">
      <t>コウテイ</t>
    </rPh>
    <rPh sb="21" eb="23">
      <t>ノウシュク</t>
    </rPh>
    <rPh sb="23" eb="25">
      <t>セイセイ</t>
    </rPh>
    <rPh sb="25" eb="27">
      <t>コウテイ</t>
    </rPh>
    <rPh sb="28" eb="30">
      <t>ジョウリュウ</t>
    </rPh>
    <rPh sb="31" eb="32">
      <t>マク</t>
    </rPh>
    <phoneticPr fontId="6"/>
  </si>
  <si>
    <t>国内基礎化学品Xの需要量100万t/年</t>
    <phoneticPr fontId="6"/>
  </si>
  <si>
    <t xml:space="preserve"> ・国内基礎化学品Xの需要量100万t/年････2040年まで一定を維持と想定
　　この内の６％に当たる６万t/年をバイオプロセス生産品に置き換える
　（★製造時の省エネルギー～「寿命等による廃棄量」で調整）
【省エネルギー効果】
　　指標A×B＝2.167kL/kg-X×60000t/年＝13.00万ｋL/年</t>
    <rPh sb="29" eb="30">
      <t>ネン</t>
    </rPh>
    <rPh sb="32" eb="34">
      <t>イッテイ</t>
    </rPh>
    <rPh sb="35" eb="37">
      <t>イジ</t>
    </rPh>
    <rPh sb="38" eb="40">
      <t>ソウテイ</t>
    </rPh>
    <rPh sb="45" eb="46">
      <t>ウチ</t>
    </rPh>
    <rPh sb="79" eb="82">
      <t>セイゾウジ</t>
    </rPh>
    <rPh sb="83" eb="84">
      <t>ショウ</t>
    </rPh>
    <rPh sb="102" eb="104">
      <t>チョウセイ</t>
    </rPh>
    <rPh sb="108" eb="109">
      <t>ショウ</t>
    </rPh>
    <rPh sb="114" eb="116">
      <t>コウカ</t>
    </rPh>
    <rPh sb="120" eb="122">
      <t>シヒョウ</t>
    </rPh>
    <rPh sb="146" eb="147">
      <t>ネン</t>
    </rPh>
    <rPh sb="153" eb="154">
      <t>マン</t>
    </rPh>
    <rPh sb="157" eb="158">
      <t>ネン</t>
    </rPh>
    <phoneticPr fontId="6"/>
  </si>
  <si>
    <t>国内より３年遅れを想定</t>
    <rPh sb="0" eb="2">
      <t>コクナイ</t>
    </rPh>
    <rPh sb="5" eb="6">
      <t>ネン</t>
    </rPh>
    <rPh sb="6" eb="7">
      <t>オク</t>
    </rPh>
    <rPh sb="9" eb="11">
      <t>ソウテイ</t>
    </rPh>
    <phoneticPr fontId="6"/>
  </si>
  <si>
    <r>
      <t>指標A: 単位当たりの省エネルギー効果量
 ・基礎化学品Xの従来法による製造エネルギー
　　原料M1(石油化学品)の製造エネルギー　 　　：100MJ/kg-X････(1) 
　　中間原料M2の製造/エネルギー(化学プロセス)： 20MJ/kg-X････(2) 
　　基礎化学品X の製造エネルギー(化学プロセス)：  2MJ/kg-X････(3) 
　　副生物の分離(蒸留)　　　　　　　　　   　　： 10MJ/kg-X････(4) 　
　　　　　　　　　　　　　　(1)＋(2)＋(3)＋(4) ＝ 132MJ/kg-X････(5) 
・基礎化学品Xのバイオプロセスによる製造エネルギー 
　　原料糖(バイオマス由来)の製造エネルギー：30MJ/kg-X････(6)
 　　バイオ変換工程による製造エネルギー　 ：　6MJ/kg-X････(7) 
　　濃縮精製工程(蒸留)　　　　　　　　　　：  8MJ/kg-X････(8) 
　　濃縮精製工程(膜)　　　　　　　　　　　：  4MJ/kg-X････(9) 
　　　　　　　　　　　　(6)＋(7)＋(8)＋(9) ＝ 48MJ/kg-X････(10) 
○原油換算　2.58×10</t>
    </r>
    <r>
      <rPr>
        <vertAlign val="superscript"/>
        <sz val="14"/>
        <color theme="1"/>
        <rFont val="游ゴシック"/>
        <family val="3"/>
        <charset val="128"/>
        <scheme val="minor"/>
      </rPr>
      <t>-5</t>
    </r>
    <r>
      <rPr>
        <sz val="10.5"/>
        <color theme="1"/>
        <rFont val="游ゴシック"/>
        <family val="2"/>
        <charset val="128"/>
        <scheme val="minor"/>
      </rPr>
      <t>kL/MJ
・省エネルギー効果量（原油換算）： （132－48）MJ/kg-X×1000kg-X/t-X×2.58×10-5kL/MJ＝2.167kl/kg-X</t>
    </r>
    <phoneticPr fontId="2"/>
  </si>
  <si>
    <t>2030年以降、国内同様１台／３年のペースで竣工</t>
    <rPh sb="4" eb="5">
      <t>ネン</t>
    </rPh>
    <rPh sb="5" eb="7">
      <t>イコウ</t>
    </rPh>
    <rPh sb="8" eb="10">
      <t>コクナイ</t>
    </rPh>
    <rPh sb="10" eb="12">
      <t>ドウヨウ</t>
    </rPh>
    <rPh sb="13" eb="14">
      <t>ダイ</t>
    </rPh>
    <rPh sb="16" eb="17">
      <t>ネン</t>
    </rPh>
    <rPh sb="22" eb="24">
      <t>シュンコウ</t>
    </rPh>
    <phoneticPr fontId="6"/>
  </si>
  <si>
    <t>高効率発電機
（市場は発電電力量(2021年3635億kWh)を500MW機に換算して表示、CAGR（年平均成長率）0.5％を想定）</t>
    <rPh sb="0" eb="1">
      <t>コウ</t>
    </rPh>
    <rPh sb="1" eb="3">
      <t>コウリツ</t>
    </rPh>
    <rPh sb="3" eb="6">
      <t>ハツデンキ</t>
    </rPh>
    <rPh sb="8" eb="10">
      <t>シジョウ</t>
    </rPh>
    <rPh sb="11" eb="13">
      <t>ハツデン</t>
    </rPh>
    <rPh sb="13" eb="15">
      <t>デンリョク</t>
    </rPh>
    <rPh sb="15" eb="16">
      <t>リョウ</t>
    </rPh>
    <rPh sb="21" eb="22">
      <t>ネン</t>
    </rPh>
    <rPh sb="26" eb="27">
      <t>オク</t>
    </rPh>
    <rPh sb="37" eb="38">
      <t>キ</t>
    </rPh>
    <rPh sb="39" eb="41">
      <t>カンサン</t>
    </rPh>
    <rPh sb="43" eb="45">
      <t>ヒョウジ</t>
    </rPh>
    <rPh sb="63" eb="65">
      <t>ソウテイ</t>
    </rPh>
    <phoneticPr fontId="6"/>
  </si>
  <si>
    <t>500MW級従来型発電機</t>
    <rPh sb="5" eb="6">
      <t>キュウ</t>
    </rPh>
    <rPh sb="6" eb="9">
      <t>ジュウライガタ</t>
    </rPh>
    <rPh sb="9" eb="12">
      <t>ハツデンキ</t>
    </rPh>
    <phoneticPr fontId="2"/>
  </si>
  <si>
    <t>500MW級耐熱型高効率発電機</t>
    <rPh sb="5" eb="6">
      <t>キュウ</t>
    </rPh>
    <rPh sb="6" eb="8">
      <t>タイネツ</t>
    </rPh>
    <rPh sb="8" eb="9">
      <t>ガタ</t>
    </rPh>
    <rPh sb="9" eb="12">
      <t>コウコウリツ</t>
    </rPh>
    <rPh sb="12" eb="15">
      <t>ハツデンキ</t>
    </rPh>
    <phoneticPr fontId="2"/>
  </si>
  <si>
    <t>500MW級耐熱型高効率発電機</t>
    <rPh sb="5" eb="6">
      <t>キュウ</t>
    </rPh>
    <rPh sb="6" eb="8">
      <t>タイネツ</t>
    </rPh>
    <rPh sb="8" eb="9">
      <t>ガタ</t>
    </rPh>
    <rPh sb="9" eb="10">
      <t>コウ</t>
    </rPh>
    <rPh sb="10" eb="12">
      <t>コウリツ</t>
    </rPh>
    <rPh sb="12" eb="14">
      <t>ハツデン</t>
    </rPh>
    <rPh sb="14" eb="15">
      <t>キ</t>
    </rPh>
    <phoneticPr fontId="6"/>
  </si>
  <si>
    <t>燃料</t>
    <rPh sb="0" eb="2">
      <t>ネンリョウ</t>
    </rPh>
    <phoneticPr fontId="2"/>
  </si>
  <si>
    <t>自動車部材のCFRPへの置き換えによる車両の軽量化</t>
    <rPh sb="0" eb="3">
      <t>ジドウシャ</t>
    </rPh>
    <rPh sb="3" eb="5">
      <t>ブザイ</t>
    </rPh>
    <rPh sb="12" eb="13">
      <t>オ</t>
    </rPh>
    <rPh sb="14" eb="15">
      <t>カ</t>
    </rPh>
    <rPh sb="19" eb="21">
      <t>シャリョウ</t>
    </rPh>
    <rPh sb="22" eb="25">
      <t>ケイリョウカ</t>
    </rPh>
    <phoneticPr fontId="6"/>
  </si>
  <si>
    <t>　国内から５年遅れの２倍の81.7台を想定</t>
    <rPh sb="1" eb="3">
      <t>コクナイ</t>
    </rPh>
    <rPh sb="6" eb="7">
      <t>ネン</t>
    </rPh>
    <rPh sb="7" eb="8">
      <t>オク</t>
    </rPh>
    <rPh sb="11" eb="12">
      <t>バイ</t>
    </rPh>
    <rPh sb="17" eb="18">
      <t>ダイ</t>
    </rPh>
    <rPh sb="19" eb="21">
      <t>ソウテイ</t>
    </rPh>
    <phoneticPr fontId="6"/>
  </si>
  <si>
    <t>転換・供給サイド</t>
  </si>
  <si>
    <r>
      <t>連続加熱炉の定格消費電力＝300kW
・従来接合剤の熱処理条件
　　加熱保持温度：300℃／熱処理時間：60分→消費電力200ｋW（実測）
・高機能接合剤の熱処理条件
　　加熱保持温度：250℃／熱処理時間：15分→消費電力40ｋW（試算、時間平均）
・熱処理炉の年間稼働時間：8640h（＝24h×360日）
・電力消費量
　　従来接合剤　：　200ｋW×8640h/年＝1.728×10</t>
    </r>
    <r>
      <rPr>
        <vertAlign val="superscript"/>
        <sz val="14"/>
        <color theme="1"/>
        <rFont val="ＭＳ Ｐゴシック"/>
        <family val="3"/>
        <charset val="128"/>
      </rPr>
      <t>6</t>
    </r>
    <r>
      <rPr>
        <sz val="10.5"/>
        <color theme="1"/>
        <rFont val="ＭＳ Ｐゴシック"/>
        <family val="3"/>
        <charset val="128"/>
      </rPr>
      <t>kWh/年
　　高機能接合剤：　 40kW×8640h/年＝3.456×10</t>
    </r>
    <r>
      <rPr>
        <vertAlign val="superscript"/>
        <sz val="14"/>
        <color theme="1"/>
        <rFont val="ＭＳ Ｐゴシック"/>
        <family val="3"/>
        <charset val="128"/>
      </rPr>
      <t>5</t>
    </r>
    <r>
      <rPr>
        <sz val="10.5"/>
        <color theme="1"/>
        <rFont val="ＭＳ Ｐゴシック"/>
        <family val="3"/>
        <charset val="128"/>
      </rPr>
      <t>kWh/年
○定数等
　・電力受電端発熱量：　8.64MJ/kWh
○原油への換算
　・発熱量1MJを原油2.58×10</t>
    </r>
    <r>
      <rPr>
        <vertAlign val="superscript"/>
        <sz val="14"/>
        <color theme="1"/>
        <rFont val="ＭＳ Ｐゴシック"/>
        <family val="3"/>
        <charset val="128"/>
      </rPr>
      <t>-5</t>
    </r>
    <r>
      <rPr>
        <sz val="10.5"/>
        <color theme="1"/>
        <rFont val="ＭＳ Ｐゴシック"/>
        <family val="3"/>
        <charset val="128"/>
      </rPr>
      <t>kL
ナノソルダーペーストによるリフロー炉1台の年間消費電力削減量を原油に換算すると、
　　　（1.728×10</t>
    </r>
    <r>
      <rPr>
        <vertAlign val="superscript"/>
        <sz val="14"/>
        <color theme="1"/>
        <rFont val="ＭＳ Ｐゴシック"/>
        <family val="3"/>
        <charset val="128"/>
      </rPr>
      <t>6</t>
    </r>
    <r>
      <rPr>
        <sz val="10.5"/>
        <color theme="1"/>
        <rFont val="ＭＳ Ｐゴシック"/>
        <family val="3"/>
        <charset val="128"/>
      </rPr>
      <t>－3.456×10</t>
    </r>
    <r>
      <rPr>
        <vertAlign val="superscript"/>
        <sz val="14"/>
        <color theme="1"/>
        <rFont val="ＭＳ Ｐゴシック"/>
        <family val="3"/>
        <charset val="128"/>
      </rPr>
      <t>5</t>
    </r>
    <r>
      <rPr>
        <sz val="10.5"/>
        <color theme="1"/>
        <rFont val="ＭＳ Ｐゴシック"/>
        <family val="3"/>
        <charset val="128"/>
      </rPr>
      <t>）kWh/年×８．６４MJ/kWh×2.58×10</t>
    </r>
    <r>
      <rPr>
        <vertAlign val="superscript"/>
        <sz val="14"/>
        <color theme="1"/>
        <rFont val="ＭＳ Ｐゴシック"/>
        <family val="3"/>
        <charset val="128"/>
      </rPr>
      <t>-5</t>
    </r>
    <r>
      <rPr>
        <sz val="10.5"/>
        <color theme="1"/>
        <rFont val="ＭＳ Ｐゴシック"/>
        <family val="3"/>
        <charset val="128"/>
      </rPr>
      <t>kL　＝　308.15 kL/台</t>
    </r>
    <rPh sb="119" eb="121">
      <t>シサン</t>
    </rPh>
    <rPh sb="122" eb="124">
      <t>ジカン</t>
    </rPh>
    <rPh sb="124" eb="126">
      <t>ヘイキン</t>
    </rPh>
    <rPh sb="161" eb="163">
      <t>デンリョク</t>
    </rPh>
    <rPh sb="163" eb="166">
      <t>ショウヒリョウ</t>
    </rPh>
    <rPh sb="169" eb="171">
      <t>ジュウライ</t>
    </rPh>
    <rPh sb="171" eb="174">
      <t>セツゴウザイ</t>
    </rPh>
    <rPh sb="189" eb="190">
      <t>ネン</t>
    </rPh>
    <rPh sb="204" eb="205">
      <t>ネン</t>
    </rPh>
    <rPh sb="208" eb="211">
      <t>コウキノウ</t>
    </rPh>
    <rPh sb="211" eb="214">
      <t>セツゴウザイ</t>
    </rPh>
    <rPh sb="228" eb="229">
      <t>ネン</t>
    </rPh>
    <rPh sb="243" eb="244">
      <t>ネン</t>
    </rPh>
    <phoneticPr fontId="6"/>
  </si>
  <si>
    <t>商業施設の空調</t>
    <phoneticPr fontId="6"/>
  </si>
  <si>
    <t>当面、国内展開のみで、海外展開は想定外</t>
    <rPh sb="0" eb="2">
      <t>トウメン</t>
    </rPh>
    <rPh sb="3" eb="7">
      <t>コクナイテンカイ</t>
    </rPh>
    <rPh sb="11" eb="15">
      <t>カイガイテンカイ</t>
    </rPh>
    <rPh sb="16" eb="18">
      <t>ソウテイ</t>
    </rPh>
    <rPh sb="18" eb="19">
      <t>ガイ</t>
    </rPh>
    <phoneticPr fontId="6"/>
  </si>
  <si>
    <t>従来の空調</t>
    <rPh sb="0" eb="2">
      <t>ジュウライ</t>
    </rPh>
    <rPh sb="3" eb="5">
      <t>クウチョウ</t>
    </rPh>
    <phoneticPr fontId="6"/>
  </si>
  <si>
    <t>開発技術による空調</t>
    <rPh sb="0" eb="2">
      <t>カイハツ</t>
    </rPh>
    <rPh sb="2" eb="4">
      <t>ギジュツ</t>
    </rPh>
    <rPh sb="7" eb="9">
      <t>クウチョウ</t>
    </rPh>
    <phoneticPr fontId="6"/>
  </si>
  <si>
    <t>大型商業施設</t>
    <rPh sb="0" eb="6">
      <t>オオガタショウギョウシセツ</t>
    </rPh>
    <phoneticPr fontId="6"/>
  </si>
  <si>
    <t>大型有機ELテレビの技術開発</t>
    <rPh sb="0" eb="2">
      <t>オオガタ</t>
    </rPh>
    <rPh sb="2" eb="4">
      <t>ユウキ</t>
    </rPh>
    <rPh sb="10" eb="12">
      <t>ギジュツ</t>
    </rPh>
    <rPh sb="12" eb="14">
      <t>カイハツ</t>
    </rPh>
    <phoneticPr fontId="6"/>
  </si>
  <si>
    <t>現在の大型有機ELテレビ１台の年間消費電力量　：
　　　Ｅ＝（４００－２００）×４．５×３６０＝３２４．０kWh／（個・年）　　</t>
    <phoneticPr fontId="6"/>
  </si>
  <si>
    <t>技術開発する大型有機ELテレビ１台の消費電力量：
　　　Ｅ＝（４００－２００）×０．６×４．５×３６０＝１９４．４kWh／（個・年）　 
　　（開発による消費電力減に比例し、節電効果の影響も60％減とした）</t>
    <phoneticPr fontId="6"/>
  </si>
  <si>
    <t>国内有機ELテレビ市場</t>
    <rPh sb="0" eb="2">
      <t>コクナイ</t>
    </rPh>
    <rPh sb="2" eb="4">
      <t>ユウキ</t>
    </rPh>
    <rPh sb="9" eb="11">
      <t>シジョウ</t>
    </rPh>
    <phoneticPr fontId="6"/>
  </si>
  <si>
    <t>国内から３年遅れの５倍を想定</t>
    <rPh sb="0" eb="2">
      <t>コクナイ</t>
    </rPh>
    <rPh sb="5" eb="6">
      <t>ネン</t>
    </rPh>
    <rPh sb="6" eb="7">
      <t>オク</t>
    </rPh>
    <rPh sb="10" eb="11">
      <t>バイ</t>
    </rPh>
    <rPh sb="12" eb="14">
      <t>ソウテイ</t>
    </rPh>
    <phoneticPr fontId="6"/>
  </si>
  <si>
    <t>高効率ガスタービン</t>
    <rPh sb="0" eb="3">
      <t>コウコウリツ</t>
    </rPh>
    <phoneticPr fontId="6"/>
  </si>
  <si>
    <t>家庭用小型ヒートポンプ給湯器</t>
    <phoneticPr fontId="2"/>
  </si>
  <si>
    <t>従来型家庭用小型ヒートポンプ給湯器</t>
    <rPh sb="0" eb="3">
      <t>ジュウライガタ</t>
    </rPh>
    <phoneticPr fontId="2"/>
  </si>
  <si>
    <t>高効率家庭用小型ヒートポンプ給湯器</t>
    <rPh sb="0" eb="3">
      <t>コウコウリツ</t>
    </rPh>
    <phoneticPr fontId="2"/>
  </si>
  <si>
    <t>本技術開発では国内市場だけを対象とする
技術開発成果は活かすが、海外用には別途微調整の上で製品化する</t>
    <rPh sb="0" eb="5">
      <t>ホンギジュツカイハツ</t>
    </rPh>
    <rPh sb="7" eb="9">
      <t>コクナイ</t>
    </rPh>
    <rPh sb="9" eb="11">
      <t>シジョウ</t>
    </rPh>
    <rPh sb="14" eb="16">
      <t>タイショウ</t>
    </rPh>
    <rPh sb="20" eb="22">
      <t>ギジュツ</t>
    </rPh>
    <rPh sb="22" eb="24">
      <t>カイハツ</t>
    </rPh>
    <rPh sb="24" eb="26">
      <t>セイカ</t>
    </rPh>
    <rPh sb="27" eb="28">
      <t>イ</t>
    </rPh>
    <rPh sb="32" eb="35">
      <t>カイガイヨウ</t>
    </rPh>
    <rPh sb="37" eb="39">
      <t>ベット</t>
    </rPh>
    <rPh sb="39" eb="42">
      <t>ビチョウセイ</t>
    </rPh>
    <rPh sb="43" eb="44">
      <t>ウエ</t>
    </rPh>
    <rPh sb="45" eb="48">
      <t>セイヒンカ</t>
    </rPh>
    <phoneticPr fontId="2"/>
  </si>
  <si>
    <t>・上記から3.6％改善</t>
    <rPh sb="1" eb="3">
      <t>ジョウキ</t>
    </rPh>
    <rPh sb="9" eb="11">
      <t>カイゼン</t>
    </rPh>
    <phoneticPr fontId="6"/>
  </si>
  <si>
    <t xml:space="preserve">○開発内容
　　500MW発電機に適用可能な高温構造材料を開発し、蒸気高温化により2.5％の効率改善を実現する
○指標A：500MW発電機での熱効率45％を2.5％改善
　　　発電所の稼働率は、定期点検期間を考慮し発電機の、年間（24時間×365日）で95%、負荷率を75%とする。
　　　従来技術：500MW*1000000W/MW*24h/d*365d/y*0.95*0.75/1000W/kW/0.45*3.6MJ/kWh = 24,966,000,000 MJ/y
　　　開発技術：500MW*1000000W/MW*24h/d*365d/y*0.95*0.75/1000W/kW/0.45*0.975*3.6MJ/kWh =24,341,850,000 MJ/y
　　　指標A：(24,966,000,000 - 24,341,850,000) × 2.58E-5 =  16,103.07 kL/台・年
 ○指標B： 2028・31・34・37・40年に各1台竣工する
　省エネルギー効果は、 16,103.07 × 5 = 8.052 万ｋL/年 </t>
    <phoneticPr fontId="6"/>
  </si>
  <si>
    <t xml:space="preserve">○開発内容
　　500MW発電機に適用可能な高温構造材料を開発し、蒸気高温化により2.5％の効率改善を実現する
○指標A：500MW発電機での熱効率45％を2.5%改善
　　　発電所の稼働率は、定期点検期間を考慮し発電機の、年間（24時間×365日）で95%、負荷率を75%とする。
　　　従来技術：500MW*1000000W/MW*24h/d*365d/y*0.95*0.75/1000W/kW/0.45*3.6MJ/kWh = 24,966,000,000 MJ/y
　　　開発技術：500MW*1000000W/MW*24h/d*365d/y*0.95*0.75/1000W/kW/0.45*0.975*3.6MJ/kWh =24,341,850,000 MJ/y
　　　指標A：(24,966,000,000 - 24,341,850,000) × 2.58E-5 = 16,103.07 kL/台・年
 </t>
    <rPh sb="1" eb="5">
      <t>カイハツナイヨウ</t>
    </rPh>
    <rPh sb="13" eb="16">
      <t>ハツデンキ</t>
    </rPh>
    <rPh sb="17" eb="19">
      <t>テキヨウ</t>
    </rPh>
    <rPh sb="19" eb="21">
      <t>カノウ</t>
    </rPh>
    <rPh sb="22" eb="24">
      <t>コウオン</t>
    </rPh>
    <rPh sb="24" eb="26">
      <t>コウゾウ</t>
    </rPh>
    <rPh sb="26" eb="28">
      <t>ザイリョウ</t>
    </rPh>
    <rPh sb="29" eb="31">
      <t>カイハツ</t>
    </rPh>
    <rPh sb="33" eb="35">
      <t>ジョウキ</t>
    </rPh>
    <rPh sb="35" eb="38">
      <t>コウオンカ</t>
    </rPh>
    <rPh sb="46" eb="50">
      <t>コウリツカイゼン</t>
    </rPh>
    <rPh sb="51" eb="53">
      <t>ジツゲン</t>
    </rPh>
    <rPh sb="72" eb="75">
      <t>ネツコウリツ</t>
    </rPh>
    <rPh sb="147" eb="151">
      <t>ジュウライギジュツ</t>
    </rPh>
    <rPh sb="242" eb="244">
      <t>カイハツ</t>
    </rPh>
    <rPh sb="343" eb="345">
      <t>シヒョウ</t>
    </rPh>
    <rPh sb="406" eb="407">
      <t>ダイ</t>
    </rPh>
    <rPh sb="408" eb="409">
      <t>ネン</t>
    </rPh>
    <phoneticPr fontId="6"/>
  </si>
  <si>
    <t xml:space="preserve">指標B： 2028・31・34・37・40年に各1台竣工する
　省エネルギー効果は、 16,103.07 × 5 = 8.052 万ｋL/年 </t>
    <rPh sb="21" eb="22">
      <t>ネン</t>
    </rPh>
    <rPh sb="33" eb="34">
      <t>ショウ</t>
    </rPh>
    <rPh sb="39" eb="41">
      <t>コウカ</t>
    </rPh>
    <rPh sb="66" eb="67">
      <t>マン</t>
    </rPh>
    <rPh sb="70" eb="71">
      <t>ネン</t>
    </rPh>
    <phoneticPr fontId="6"/>
  </si>
  <si>
    <r>
      <t> ＜前提＞
　○技術開発ターゲット
　　・自動車部材のＣＦＲＰへの置き換えにより、車両の重量を６％低減
&lt;指標Ａ（効果量）&gt;
　　・６％の車両軽量化によるエネルギー消費量削減効果は３％※
　　・対象車両の平均燃費２２．６ｋｍ／ℓ、平均走行距離１万ｋｍから、
　　　　本技術導入時のガソリンの削減量は１００００ｋｍ／年・台÷２２．６ｋｍ／ℓ×０．０３６＝１５．９２９ℓ／年・台
　　　　発熱量に換算すると、１５．９２９ℓ／年・台×３３．３７ＭＪ／ℓ＝５３１．５５ＭＪ／年・台
　　　　原油量に換算すると、５３１．５５ＭＪ／年・台×２．５８×１０</t>
    </r>
    <r>
      <rPr>
        <vertAlign val="superscript"/>
        <sz val="14"/>
        <rFont val="ＭＳ Ｐゴシック"/>
        <family val="3"/>
        <charset val="128"/>
      </rPr>
      <t>－５</t>
    </r>
    <r>
      <rPr>
        <sz val="10.5"/>
        <rFont val="ＭＳ Ｐゴシック"/>
        <family val="3"/>
        <charset val="128"/>
      </rPr>
      <t>ｋℓ＝0.013714  kℓ／年・台
&lt;指標Ｂ（導入量）&gt;
　　・対象車両は乗用車で年間販売台数430万台、2026年から販売を開始し、2035年までにシェア15％を達成、以降15％維持を想定
　　　　→２０４０年における当該技術適用車両の市場ストック量は７３１．０万台　（指標B導出部の表参照）
●省エネルギー効果量（原油換算値）
　　以上の指標Ａ、指標Ｂの計算結果から、0.013714  kℓ／年・台×731.0万台＝１０．０３ 万ｋℓ／年
 　　　※ＮＥＤＯ成果報告書（2019年度）「戦略的省エネルギー技術革新プログラム／経路床による省エネルギー効果に関する調査」による</t>
    </r>
    <rPh sb="307" eb="311">
      <t>タイショウシャリョウ</t>
    </rPh>
    <rPh sb="312" eb="315">
      <t>ジョウヨウシャ</t>
    </rPh>
    <rPh sb="316" eb="318">
      <t>ネンカン</t>
    </rPh>
    <rPh sb="318" eb="322">
      <t>ハンバイダイスウ</t>
    </rPh>
    <rPh sb="357" eb="359">
      <t>タッセイ</t>
    </rPh>
    <rPh sb="360" eb="362">
      <t>イコウ</t>
    </rPh>
    <rPh sb="365" eb="367">
      <t>イジ</t>
    </rPh>
    <rPh sb="368" eb="370">
      <t>ソウテイ</t>
    </rPh>
    <rPh sb="411" eb="413">
      <t>シヒョウ</t>
    </rPh>
    <rPh sb="414" eb="417">
      <t>ドウシュツブ</t>
    </rPh>
    <rPh sb="418" eb="419">
      <t>ヒョウ</t>
    </rPh>
    <rPh sb="419" eb="421">
      <t>サンショウ</t>
    </rPh>
    <phoneticPr fontId="6"/>
  </si>
  <si>
    <t>＜前提＞
　○技術開発ターゲット
　　・自動車部材のＣＦＲＰへの置き換えにより、車両の重量を６％低減
　○車両の条件
　　・乗用車の平均燃費は２２．６ｋｍ／ℓ、乗用車の平均走行距離は1万ｋｍ／年
&lt;指標Ａ（効果量）&gt;
　　・６％の車両軽量化によるエネルギー消費量削減効果は３．６％※
　　・対象車両の平均燃費２２．６ｋｍ／ℓ、平均走行距離１万ｋｍから、
　　　　本技術導入時のガソリンの削減量は１００００ｋｍ／年・台÷２２．６ｋｍ／ℓ×０．０３６＝１５．９２９ℓ／年・台
　　　　発熱量に換算すると、１５．９２９ℓ／年・台×３３．３７ＭＪ／ℓ＝５３１．５５ＭＪ／年・台
　　　　原油量に換算すると、５３１．５５ＭＪ／年・台×２．５８×１０－５ｋℓ＝0.013714 kℓ／年・台
　※ＮＥＤＯ成果報告書（2019年度）
　　「戦略的省エネルギー技術革新プログラム／軽量化による省エネルギー効果に関する調査」による
　　　（乗用車(電動車)：10％の車両軽量化により６％の省エネルギー効果）</t>
    <rPh sb="384" eb="387">
      <t>ケイリョウカ</t>
    </rPh>
    <rPh sb="413" eb="416">
      <t>ジョウヨウシャ</t>
    </rPh>
    <rPh sb="417" eb="420">
      <t>デンドウシャ</t>
    </rPh>
    <rPh sb="426" eb="431">
      <t>シャリョウケイリョウカ</t>
    </rPh>
    <rPh sb="437" eb="438">
      <t>ショウ</t>
    </rPh>
    <rPh sb="443" eb="445">
      <t>コウカ</t>
    </rPh>
    <phoneticPr fontId="6"/>
  </si>
  <si>
    <t>・乗用車の平均燃費は２２．６ ｋｍ／ℓ、乗用車の平均走行距離は1万ｋｍ／年
・ガソリンの発熱量は33.37MJ/L</t>
    <rPh sb="44" eb="47">
      <t>ハツネツリョウ</t>
    </rPh>
    <phoneticPr fontId="6"/>
  </si>
  <si>
    <t> ＜前提＞
　○車両の条件
　　・対象車両は乗用車で、年間販売台数は４３０万台
　　・２０２６年度から販売を開始し、２０３０年までにシェア10％、２０３５年までにシェア15％、以降15％維持を想定 
&lt;指標Ｂ（導入量）&gt;
　　・２０４０年における当該技術適用車両の市場ストック量は、下表の通り、7,310,000台
●省エネルギー効果量（原油換算値）
　　以上の指標Ａ、指標Ｂの計算結果から、0.013714 kℓ／年・台×731.0万台 ＝ 10.03 万ｋℓ／年
 </t>
    <rPh sb="88" eb="90">
      <t>イコウ</t>
    </rPh>
    <rPh sb="93" eb="95">
      <t>イジ</t>
    </rPh>
    <rPh sb="142" eb="144">
      <t>カヒョウ</t>
    </rPh>
    <rPh sb="145" eb="146">
      <t>トオ</t>
    </rPh>
    <rPh sb="157" eb="158">
      <t>ダイ</t>
    </rPh>
    <phoneticPr fontId="6"/>
  </si>
  <si>
    <t>＜前提＞　省エネルギー効果20％の根拠は様式４（提案書本文）を参照
　○現状／技術開発ターゲット
　　・商業施設のエネルギー消費原単位：３５７２ MJ／（m2・年）　　　　　　　　　・・・（１）
　　・商業施設の空調のエネルギー消費量の割合：４０%　　　　　　　　　　　 ・・・（２）
　　・開発技術で得られる省エネルギー率：２０%　　　　　　　　　　　　　　　　　　　・・・（３）
　　　　開発技術を用いたエネルギー消費量：（１）の８０％
　　・２０４０年の導入量（年間の新築着工床面積の総和）：１１４０万m2　　　・・・（４）
　　・シェアは２０４０年まで現在の３０%を維持　　　　　　　　　　　　　　　　　　　　 ・・・（５）
　指標Ａ（効果量）
　　従来技術の年間エネルギー消費量は
　　　　（１）×（２）　＝　1428.8　MJ／（m2・年）
　　開発技術を導入した商業施設の床面積１m2当たりの年間の一次エネルギーは、
　　　　（１）＊０．８×（２）　＝　1143.0　MJ／（m2・年）　
　　指標A：（1428.8－1143.0）×原油換算値　＝　0.0073726 ｋL/（m2・年）　　　　　　　　　　　　　　　　
　</t>
    <rPh sb="196" eb="200">
      <t>カイハツギジュツ</t>
    </rPh>
    <rPh sb="201" eb="202">
      <t>モチ</t>
    </rPh>
    <rPh sb="209" eb="212">
      <t>ショウヒリョウ</t>
    </rPh>
    <rPh sb="330" eb="334">
      <t>ジュウライギジュツ</t>
    </rPh>
    <rPh sb="335" eb="337">
      <t>ネンカン</t>
    </rPh>
    <rPh sb="342" eb="345">
      <t>ショウヒリョウ</t>
    </rPh>
    <rPh sb="457" eb="459">
      <t>シヒョウ</t>
    </rPh>
    <rPh sb="495" eb="496">
      <t>ネン</t>
    </rPh>
    <phoneticPr fontId="6"/>
  </si>
  <si>
    <t xml:space="preserve">　・年間の商業施設の新築着工面積は、ここ１０年の推移によりほぼ変化しないと想定されるため、
　　２０４０年度までの年間当たりの新築着工面積はここ１０年の平均値と同値と推定される。
　　　⇒　２０２４年から２０４０年までの年間の新築着工床面積は：毎年１１４０万m2 （下図）
　　　⇒　毎年、新規分として上記面積が増加していくと推定される。
　・新規開発の実現される成果は、提案者の開発・導入計画より2025年より市場に導入する予定で進んでいる。
　　空調設備としては、共同提案者との協議を進めており、技術開発成果を2025年度から空調機に取り込む計画で進行している。
　・商業施設の着工面積における当社のシェアは、現在３０％程度であり、今後増大させる計画ではあるが未知数であるため、
　　２０４０年まで３０％のまま推移することを想定している。
　・提案者の新規工事物件の内、当該開発技術の適用された空調設備は２０２５年には５％、２０３０年に30％、２０４０年に50%の導入の計画で進めており、
　　2040年時には、市場累計量として、17,544,600ｍ２の面積に新技術が導入される計画である。
　・この市場累計量に指標Aとの積を計算すると、２０４０年度の省エネ効果量が12.935万ｋL／年と算出される
</t>
    <rPh sb="122" eb="124">
      <t>マイトシ</t>
    </rPh>
    <rPh sb="133" eb="135">
      <t>カズ</t>
    </rPh>
    <rPh sb="145" eb="148">
      <t>シンキブン</t>
    </rPh>
    <rPh sb="226" eb="230">
      <t>クウチョウセツビ</t>
    </rPh>
    <rPh sb="242" eb="244">
      <t>キョウギ</t>
    </rPh>
    <rPh sb="245" eb="246">
      <t>スス</t>
    </rPh>
    <rPh sb="251" eb="257">
      <t>ギジュツカイハツセイカ</t>
    </rPh>
    <rPh sb="262" eb="264">
      <t>ネンド</t>
    </rPh>
    <rPh sb="266" eb="269">
      <t>クウチョウキ</t>
    </rPh>
    <rPh sb="270" eb="271">
      <t>ト</t>
    </rPh>
    <rPh sb="272" eb="273">
      <t>コ</t>
    </rPh>
    <rPh sb="274" eb="276">
      <t>ケイカク</t>
    </rPh>
    <rPh sb="277" eb="279">
      <t>シンコウ</t>
    </rPh>
    <rPh sb="303" eb="305">
      <t>トウシャ</t>
    </rPh>
    <rPh sb="404" eb="408">
      <t>クウチョウセツビ</t>
    </rPh>
    <rPh sb="509" eb="514">
      <t>シジョウルイケイリョウ</t>
    </rPh>
    <rPh sb="515" eb="517">
      <t>シヒョウ</t>
    </rPh>
    <rPh sb="520" eb="521">
      <t>セキ</t>
    </rPh>
    <rPh sb="522" eb="524">
      <t>ケイサン</t>
    </rPh>
    <rPh sb="532" eb="534">
      <t>ネンド</t>
    </rPh>
    <rPh sb="535" eb="536">
      <t>ショウ</t>
    </rPh>
    <rPh sb="538" eb="541">
      <t>コウカリョウ</t>
    </rPh>
    <rPh sb="548" eb="549">
      <t>マン</t>
    </rPh>
    <rPh sb="552" eb="553">
      <t>ネン</t>
    </rPh>
    <rPh sb="554" eb="556">
      <t>サンシュツ</t>
    </rPh>
    <phoneticPr fontId="6"/>
  </si>
  <si>
    <r>
      <t>　　＜前提＞　省エネルギー効果60％の根拠は様式４（提案書本文）を参照
　○現状／技術開発ターゲット
　　・現在の大型有機ELテレビ１台の消費電力　　　　：４００W　　　　　　　 　　　・・・（１）
　　・現在の大型有機ELテレビ１台の節電機能　　　　：２００W　　　　　　　　　　 ・・・（２）
　　・技術開発する大型有機ELテレビ１台の消費電力　：開発により30％減　 ・・・（３）
　　テレビの年間消費電力量（E）については、以下で算出
　　Ｅ＝｛（Ｐｏ－ＰＡ )×ｔ１＋Ｐｓ×ｔ２｝／１０００（ｋＷ・ｈ／年）
　　Ｐｏ：消費電力	ｔ１：動作時間（視聴時間：４．５時間／日）
　　ＰＡ：節電機能　　　ｔ２：待機時間
　　Ｐｓ：待機電力（但し、待機電力が十分小さいため０とした）
　　・現在の大型有機ELテレビ１台の年間消費電力量　：
　　　Ｅ＝（４００－２００）×４．５×３６０＝３２４．０kWh／（個・年）　　　　　　 ・・・（４）　
　　・技術開発する大型有機ELテレビ１台の消費電力量：
　　　Ｅ＝（４００－２００）×０．７×４．５×３６０＝２２６．８kWh／（個・年）　 　・・・（５）
　　　（開発による消費電力減に比例し、節電効果の影響も70％減とした）
　　　指標A：（324.0-226.8)×8.64×2.58×10</t>
    </r>
    <r>
      <rPr>
        <vertAlign val="superscript"/>
        <sz val="14"/>
        <rFont val="游ゴシック"/>
        <family val="3"/>
        <charset val="128"/>
        <scheme val="minor"/>
      </rPr>
      <t>-5</t>
    </r>
    <r>
      <rPr>
        <sz val="10.5"/>
        <rFont val="游ゴシック"/>
        <family val="3"/>
        <charset val="128"/>
        <scheme val="minor"/>
      </rPr>
      <t>=0.021667kL/個/年</t>
    </r>
    <rPh sb="7" eb="8">
      <t>ショウ</t>
    </rPh>
    <rPh sb="13" eb="15">
      <t>コウカ</t>
    </rPh>
    <rPh sb="19" eb="21">
      <t>コンキョ</t>
    </rPh>
    <rPh sb="22" eb="24">
      <t>ヨウシキ</t>
    </rPh>
    <rPh sb="26" eb="29">
      <t>テイアンショ</t>
    </rPh>
    <rPh sb="29" eb="31">
      <t>ホンブン</t>
    </rPh>
    <rPh sb="33" eb="35">
      <t>サンショウ</t>
    </rPh>
    <rPh sb="543" eb="545">
      <t>シヒョウ</t>
    </rPh>
    <rPh sb="587" eb="588">
      <t>コ</t>
    </rPh>
    <rPh sb="589" eb="590">
      <t>ネン</t>
    </rPh>
    <phoneticPr fontId="6"/>
  </si>
  <si>
    <t xml:space="preserve">
　・大型テレビ導入量は2024年時点で年間400万台、以降、年平均成長率（CAGR）１％と推定
　・有機ELテレビ導入量は、販売開始の2026年時点で年間75万台、以降、年平均成長率（CAGR）10％で推移すると推定
　・開発技術の市場導入量は、以下を想定し、算出
　　　大型テレビ市場における当社のシェアは現在30％
　　　本開発技術の製品化は、2026年から市場導入を開始する予定で、新規に販売する製品のすべてを開発技術搭載製品に変更する
　　　当社の有機ELテレビの販売のシェアは、当初2026年の5%から、2034年以降33％に増大させる計画としている。
　・開発製品の寿命は１０年を想定しているため、２０２６年から導入した製品は、２０３６年から廃棄されるものと推定
　　　2040年時点での市場累計量は、5,741,987台
　　　この累計量に、指標Aをかけ合わせて、12.441万KL／年　が、本技術での２０４０年度に達成できる省エネ効果量である。</t>
    <rPh sb="16" eb="17">
      <t>ネン</t>
    </rPh>
    <rPh sb="17" eb="19">
      <t>ジテン</t>
    </rPh>
    <rPh sb="20" eb="22">
      <t>ネンカン</t>
    </rPh>
    <rPh sb="52" eb="54">
      <t>ユウキ</t>
    </rPh>
    <rPh sb="64" eb="66">
      <t>ハンバイ</t>
    </rPh>
    <rPh sb="66" eb="68">
      <t>カイシ</t>
    </rPh>
    <rPh sb="74" eb="76">
      <t>ジテン</t>
    </rPh>
    <rPh sb="103" eb="105">
      <t>スイイ</t>
    </rPh>
    <rPh sb="139" eb="141">
      <t>オオガタ</t>
    </rPh>
    <rPh sb="157" eb="159">
      <t>ゲンザイ</t>
    </rPh>
    <rPh sb="231" eb="233">
      <t>ユウキ</t>
    </rPh>
    <rPh sb="239" eb="241">
      <t>ハンバイ</t>
    </rPh>
    <rPh sb="247" eb="249">
      <t>トウショ</t>
    </rPh>
    <rPh sb="253" eb="254">
      <t>ネン</t>
    </rPh>
    <rPh sb="355" eb="358">
      <t>ネンジテン</t>
    </rPh>
    <rPh sb="360" eb="362">
      <t>シジョウ</t>
    </rPh>
    <rPh sb="362" eb="365">
      <t>ルイケイリョウ</t>
    </rPh>
    <rPh sb="376" eb="377">
      <t>ダイ</t>
    </rPh>
    <rPh sb="384" eb="387">
      <t>ルイケイリョウ</t>
    </rPh>
    <rPh sb="389" eb="391">
      <t>シヒョウ</t>
    </rPh>
    <rPh sb="395" eb="396">
      <t>ア</t>
    </rPh>
    <rPh sb="406" eb="407">
      <t>マン</t>
    </rPh>
    <rPh sb="410" eb="411">
      <t>ネン</t>
    </rPh>
    <rPh sb="414" eb="417">
      <t>ホンギジュツ</t>
    </rPh>
    <rPh sb="423" eb="425">
      <t>ネンド</t>
    </rPh>
    <rPh sb="426" eb="428">
      <t>タッセイ</t>
    </rPh>
    <rPh sb="431" eb="432">
      <t>ショウ</t>
    </rPh>
    <rPh sb="434" eb="437">
      <t>コウカリョウ</t>
    </rPh>
    <phoneticPr fontId="6"/>
  </si>
  <si>
    <t>量産体制を整備する2032年から販売を開始する</t>
    <rPh sb="0" eb="2">
      <t>リョウサン</t>
    </rPh>
    <rPh sb="2" eb="4">
      <t>タイセイ</t>
    </rPh>
    <rPh sb="5" eb="7">
      <t>セイビ</t>
    </rPh>
    <rPh sb="13" eb="14">
      <t>ネン</t>
    </rPh>
    <rPh sb="16" eb="18">
      <t>ハンバイ</t>
    </rPh>
    <rPh sb="19" eb="21">
      <t>カイシ</t>
    </rPh>
    <phoneticPr fontId="6"/>
  </si>
  <si>
    <t>＜前提条件＞ 
〇ガスタービンの出力は、20MWとする。 
〇従来のGTは、定格(100%)の時の効率は50%（１）、50%負荷時の効率は30%（２）、負荷応答性は5%/分とする。 
〇開発するGTは、定格時の効率は52.5%（４）、40%負荷まで運転可能でその時の効率を30%（５）、負荷応答性は10%/分とする。 
〇100%負荷の運転は、18時間/日で、残りの6時間（6回/日）は、再生可能エネルギー対応のため部分負荷運転とする。 
〇従来GTの部分負荷運転は、100%から５%/分で10分かけて50%負荷に達し、40分間負荷50%で運転し、10分間かけて100%負荷に達する。 （３）
〇開発GTの部分負荷運転は、100%から10%/分で6分かけて40%負荷に達し、48分間負荷40%で運転し、6分間かけて100%負荷に達する。 （６）
〇40または50％負荷～100%負荷では、出力・効率ともに線形とする。 
〇年間の稼働率を95%とする。 
〇2024年まで開発し、2027年度から販売開始とする。 
指標Aの算出
　〇従来GT
　　　（１）100%負荷時(1時間)の原油相当の燃料消費量	
　　　  	20MW×1000ｋW/MW/0.5×8.64MJ/kWh　＝　345600 MJ/h
　　　（２）50%負荷時(1時間)の原油相当の燃料消費量	
　　　  	20MW×0.5×1000kW/MW/0.3×8.64MJ/kWh　＝　288000 MJ/h
　　　（３）100%～50%負荷変化時(10分間)の原油相当の燃料消費量	
　　　  	(20MW/0.5＋10MW/0.3) ×1000ｋW/MW/2×8.64MJ/kWh　＝　329143 MJ/h
　　　1年間の原油相当の燃料消費量	
　　　　　(（１）MJ/h×18h/d+（２）MJ/h×40/60×6h/d+（３）MJ/h×10/60×2×6h/d) ×365d/y×0.95 = 2,776,219,200 MJ/y
　〇開発GT
　　　（４）100%負荷時(1時間)の原油相当の燃料消費量	
　　　  	20MW×1000kW/MW/0.525×8.64MJ/kWh　＝　329142.9 MJ/h
　　　（５）40%負荷時(1時間)の原油相当の燃料消費量	
　　　  	20MW×0.4×1000kW/MW/0.3×8.64MJ/kWh　＝　230400 MJ/h
　　　（６）100%～40%負荷変化時(6分間)の原油相当の燃料消費量	
　　　  	(20MW/0.525＋8MW/0.3) ×1000kW/MW/2×8.64MJ/kWh　＝　279771.4 MJ/h
　　　　1年間の原油相当の燃料消費量	
　　　　　(（４）MJ/h×18h/d+（５）MJ/h×48/60×6h/d+（６）MJ/h×6/60×2×6h/d) ×365d/y×0.95 = 2,554,236,050  MJ/y</t>
    <rPh sb="458" eb="460">
      <t>シヒョウ</t>
    </rPh>
    <rPh sb="462" eb="464">
      <t>サンシュツ</t>
    </rPh>
    <phoneticPr fontId="6"/>
  </si>
  <si>
    <t>1年間の原油相当の燃料消費量	
	(（１）×18+（２）×40/60×6+（３）×10/60×2×6) ×365×0.95 =2,776,219,200 MJ/y</t>
    <phoneticPr fontId="6"/>
  </si>
  <si>
    <t>1年間の原油相当の燃料消費量	
	(（４）×18+（５）×48/60×6+（６）×6/60×2×6) ×365×0.95 = 2,554,235,462 MJ/y</t>
    <phoneticPr fontId="6"/>
  </si>
  <si>
    <t xml:space="preserve">○市場動向
・世界のガスタービン市場は年平均成長率(CAGR)３～５％の堅調な成長が見込まれている
・30MW級ガスタービンの国内稼働基数は60基程度で、更新・新規導入の両面を含め堅調な増加が期待される（当社調べ）
　　 →本技術開発によって高効率ニーズに適応し、2040年度時点でストック量で40％のシェアを目指す
　〇具体的には、以下の製造・販売計画に基づき、市場導入量を算出する。
　　・2024年までに開発を完了し、生産環境を整備して2027年度から販売を開始する。 
　　・2032年までに生産環境を強化し、この年より増産を開始する
  ○海外に対しては、上記増産環境に合わせ、2032年からの販売を計画する
</t>
    <rPh sb="1" eb="3">
      <t>シジョウ</t>
    </rPh>
    <rPh sb="3" eb="5">
      <t>ドウコウ</t>
    </rPh>
    <rPh sb="7" eb="9">
      <t>セカイ</t>
    </rPh>
    <rPh sb="16" eb="18">
      <t>シジョウ</t>
    </rPh>
    <rPh sb="19" eb="22">
      <t>ネンヘイキン</t>
    </rPh>
    <rPh sb="22" eb="25">
      <t>セイチョウリツ</t>
    </rPh>
    <rPh sb="36" eb="38">
      <t>ケンチョウ</t>
    </rPh>
    <rPh sb="39" eb="41">
      <t>セイチョウ</t>
    </rPh>
    <rPh sb="42" eb="44">
      <t>ミコ</t>
    </rPh>
    <rPh sb="63" eb="65">
      <t>コクナイ</t>
    </rPh>
    <rPh sb="65" eb="69">
      <t>カドウキスウ</t>
    </rPh>
    <rPh sb="77" eb="79">
      <t>コウシン</t>
    </rPh>
    <rPh sb="88" eb="89">
      <t>フク</t>
    </rPh>
    <rPh sb="90" eb="92">
      <t>ケンチョウ</t>
    </rPh>
    <rPh sb="93" eb="95">
      <t>ゾウカ</t>
    </rPh>
    <rPh sb="96" eb="98">
      <t>キタイ</t>
    </rPh>
    <rPh sb="102" eb="104">
      <t>トウシャ</t>
    </rPh>
    <rPh sb="104" eb="105">
      <t>シラ</t>
    </rPh>
    <rPh sb="121" eb="124">
      <t>コウコウリツ</t>
    </rPh>
    <rPh sb="128" eb="130">
      <t>テキオウ</t>
    </rPh>
    <rPh sb="136" eb="138">
      <t>ネンド</t>
    </rPh>
    <rPh sb="138" eb="140">
      <t>ジテン</t>
    </rPh>
    <rPh sb="145" eb="146">
      <t>リョウ</t>
    </rPh>
    <rPh sb="155" eb="157">
      <t>メザ</t>
    </rPh>
    <rPh sb="239" eb="242">
      <t>グタイテキ</t>
    </rPh>
    <rPh sb="245" eb="247">
      <t>イカ</t>
    </rPh>
    <rPh sb="324" eb="325">
      <t>ネン</t>
    </rPh>
    <rPh sb="328" eb="332">
      <t>セイサンカンキョウ</t>
    </rPh>
    <rPh sb="333" eb="335">
      <t>キョウカ</t>
    </rPh>
    <rPh sb="339" eb="340">
      <t>トシ</t>
    </rPh>
    <rPh sb="342" eb="344">
      <t>ゾウサン</t>
    </rPh>
    <rPh sb="345" eb="347">
      <t>カイシ</t>
    </rPh>
    <rPh sb="354" eb="356">
      <t>カイガイ</t>
    </rPh>
    <rPh sb="357" eb="358">
      <t>タイ</t>
    </rPh>
    <rPh sb="362" eb="364">
      <t>ジョウキ</t>
    </rPh>
    <rPh sb="364" eb="366">
      <t>ゾウサン</t>
    </rPh>
    <rPh sb="366" eb="368">
      <t>カンキョウ</t>
    </rPh>
    <rPh sb="369" eb="370">
      <t>ア</t>
    </rPh>
    <rPh sb="377" eb="378">
      <t>ネン</t>
    </rPh>
    <rPh sb="381" eb="383">
      <t>ハンバイ</t>
    </rPh>
    <rPh sb="384" eb="386">
      <t>ケイカク</t>
    </rPh>
    <phoneticPr fontId="6"/>
  </si>
  <si>
    <t>本枠内の情報は【提案書ファイルB】内では別シートかつ非表示</t>
    <rPh sb="0" eb="3">
      <t>ホンワクナイ</t>
    </rPh>
    <rPh sb="4" eb="6">
      <t>ジョウホウ</t>
    </rPh>
    <rPh sb="8" eb="11">
      <t>テイアンショ</t>
    </rPh>
    <rPh sb="17" eb="18">
      <t>ナイ</t>
    </rPh>
    <rPh sb="20" eb="21">
      <t>ベツ</t>
    </rPh>
    <rPh sb="26" eb="29">
      <t>ヒヒョウジ</t>
    </rPh>
    <phoneticPr fontId="2"/>
  </si>
  <si>
    <t>市場1</t>
    <rPh sb="0" eb="2">
      <t>シジョウ</t>
    </rPh>
    <phoneticPr fontId="2"/>
  </si>
  <si>
    <t>市場2</t>
    <rPh sb="0" eb="2">
      <t>シジョウ</t>
    </rPh>
    <phoneticPr fontId="2"/>
  </si>
  <si>
    <t>市場3</t>
    <rPh sb="0" eb="2">
      <t>シジョウ</t>
    </rPh>
    <phoneticPr fontId="2"/>
  </si>
  <si>
    <t>フリーフォーマット</t>
    <phoneticPr fontId="2"/>
  </si>
  <si>
    <t>合計</t>
    <rPh sb="0" eb="2">
      <t>ゴウケイ</t>
    </rPh>
    <phoneticPr fontId="2"/>
  </si>
  <si>
    <t>基礎化学品Xのバイオプロセス生産による省エネルギー</t>
    <phoneticPr fontId="6"/>
  </si>
  <si>
    <t xml:space="preserve">指標A：単位当たりの省エネルギー効果量 
・従来法の場合の熱処理炉の消費電力：200kW/台（実測）
・高機能接合剤を用いた場合の熱処理炉の消費電力：40kW/台（試算、時間平均）
　　加熱保持温度を下げる／熱処理時間を短縮する ・熱処理炉の年間稼働時間；8640h/年（＝24h×360日/年） 
　　受電端発熱量：8.64MJ／kWh 　　原油換算　　：2.58×10-5KL/MJ 
　　　→（200－40）kW/台×8640h/年×8.64MJ/kWh×2.58E-5kL/MJ＝308.15kL/台・年
 指標B：2040年時点の市場導入（普及）量
 　2040年の市場ストック量 
　　国内対象熱処理炉台数1000台 
　　社内適用＋社外販売（・標準化）で導入量を拡大する
 　　　→シェア40%～400台
 省エネルギー効果 　308.15ｋL/台・年×400台 ＝ 12.33万ｋL/年 </t>
    <rPh sb="45" eb="46">
      <t>ダイ</t>
    </rPh>
    <rPh sb="80" eb="81">
      <t>ダイ</t>
    </rPh>
    <rPh sb="134" eb="135">
      <t>ネン</t>
    </rPh>
    <rPh sb="146" eb="147">
      <t>ネン</t>
    </rPh>
    <rPh sb="210" eb="211">
      <t>ダイ</t>
    </rPh>
    <rPh sb="218" eb="219">
      <t>ネン</t>
    </rPh>
    <rPh sb="304" eb="308">
      <t>ネツショリロ</t>
    </rPh>
    <phoneticPr fontId="6"/>
  </si>
  <si>
    <t>サンプル版</t>
  </si>
  <si>
    <t>＜前提条件＞ 
　・ガスタービンの出力は、20MWとする。 
　・従来のGTは、定格(100%)の時の効率は50%（１）、50%負荷時の効率は30%（２）、負荷応答性は5%/分とする。 
　・開発するGTは、定格時の効率は52.5%（４）、40%負荷まで運転可能でその時の効率を30%（５）、負荷応答性は10%/分とする。 
　・100%負荷の運転は、18時間/日で、残りの6時間（6回/日）は、再生可能エネルギー対応のため部分負荷運転とする。 
　・従来GTの部分負荷運転は、100%から５%/分で10分かけて50%負荷に達し、40分間負荷50%で運転し、10分間かけて100%負荷に達する。 （３）
　・開発GTの部分負荷運転は、100%から10%/分で6分かけて40%負荷に達し、48分間負荷40%で運転し、6分間かけて100%負荷に達する。（６） 
　・40または50％負荷～100%負荷で、出力・効率ともに線形とする。 
　・年間の稼働率を95%とする。
指標Aの算出
　・従来GT
　　　1年間の原油相当の燃料消費量	
　　　　(（１）MJ/h×18h/d+（２）MJ/h×40/60×6h/d+（３）MJ/h×10/60×2×6h/d) ×365d/y×0.95 = 2,776,219,200 MJ/y
　・開発GT
　　　　1年間の原油相当の燃料消費量	
　　　　　(（４）MJ/h×18h/d+（５）MJ/h×48/60×6h/d+（６）MJ/h×6/60×2×6h/d) ×365d/y×0.95 = 2,554,236,050  MJ/y
指標B
　・2024年までに開発を完了し、生産環境を整備して2027年度から販売を開始する。 
　・2032年までに生産環境を強化し、この年より増産を開始する
　・2040年のストック量は30台
　　省エネ効果量　＝　指標A（従来GT－開発GT）×原油換算係数×指標B（30）＝17.18万ｋL／年</t>
    <rPh sb="683" eb="685">
      <t>シヒョウ</t>
    </rPh>
    <rPh sb="769" eb="770">
      <t>ネン</t>
    </rPh>
    <rPh sb="775" eb="776">
      <t>リョウ</t>
    </rPh>
    <rPh sb="779" eb="780">
      <t>ダイ</t>
    </rPh>
    <rPh sb="784" eb="785">
      <t>ショウ</t>
    </rPh>
    <rPh sb="787" eb="790">
      <t>コウカリョウ</t>
    </rPh>
    <rPh sb="793" eb="795">
      <t>シヒョウ</t>
    </rPh>
    <rPh sb="797" eb="799">
      <t>ジュウライ</t>
    </rPh>
    <rPh sb="802" eb="804">
      <t>カイハツ</t>
    </rPh>
    <rPh sb="808" eb="810">
      <t>ゲンユ</t>
    </rPh>
    <rPh sb="810" eb="812">
      <t>カンサン</t>
    </rPh>
    <rPh sb="812" eb="814">
      <t>ケイスウ</t>
    </rPh>
    <rPh sb="815" eb="817">
      <t>シヒョウ</t>
    </rPh>
    <rPh sb="828" eb="829">
      <t>マン</t>
    </rPh>
    <rPh sb="832" eb="833">
      <t>ネン</t>
    </rPh>
    <phoneticPr fontId="6"/>
  </si>
  <si>
    <t xml:space="preserve">指標A: 単位当たりの省エネルギー効果量
  基礎化学品Aの従来法による製造エネルギー
　　原料M1(石油化学品)→中間原料M2→基礎化学品X の製造エネルギー：132MJ/kg-X 
　を
　基礎化学品Aのバイオプロセスによる製造エネルギー 
　　原料糖(バイオマス由来)→バイオ変換工程→濃縮精製工程(蒸留＋膜)：48MJ/kg-X
　に置き換える
　指標A：（132－48）MJ/kg-X×1000kg-X/t-X×2.58×10-5kL/MJ＝2.167kl/t-X
指標B:2040年時点の市場導入（普及）量
 ・国内基礎化学品Xの需要量100万t/年
　　この６％に当たる６万t/年をバイオプロセス生産品に置き換える
　指標Ｂ：６万ｔ/年
 省エネルギー効果 　＝2.167kL/t-X×60,000t-X/年 ＝ 13.0万ｋL/年 </t>
    <rPh sb="156" eb="157">
      <t>マク</t>
    </rPh>
    <rPh sb="171" eb="172">
      <t>オ</t>
    </rPh>
    <rPh sb="173" eb="174">
      <t>カ</t>
    </rPh>
    <rPh sb="178" eb="180">
      <t>シヒョウ</t>
    </rPh>
    <rPh sb="322" eb="323">
      <t>マン</t>
    </rPh>
    <rPh sb="325" eb="326">
      <t>ネン</t>
    </rPh>
    <rPh sb="362" eb="363">
      <t>ネン</t>
    </rPh>
    <phoneticPr fontId="6"/>
  </si>
  <si>
    <t>　＜前提＞　　　　　　　 (注)　下記は数値のみを示していますが、根拠の詳細な説明が必要です。
　○現状／技術開発ターゲット
　　・現在の大型有機ELテレビ１台の消費電力　　　　：４００W　　　　　　　 　　　　　　　　　・・・（１）
　　・現在の大型有機ELテレビ１台の節電機能　　　　：２００W　　　　　　　　　　　　 　　　　・・・（２）
　　・技術開発する大型有機ELテレビ１台の消費電力：２８０W　（開発により３０％減）　 ・・・（３）
　　　（待機電力は十分小さいため０とする）
　　・現在の大型有機ELテレビ１台の年間消費電力量　：
　　　Ｅ＝（４００－２００）×４．５×３６０＝３２４．０kWh／（個・年）　　　　　　 　　　　　　　　・・・（４）　
　　・技術開発する大型有機ELテレビ１台の消費電力量：
　　　Ｅ＝（４００－２００）×０．７×４．５×３６０＝２２６．８kWh／（個・年）　 　　　　　　　　・・・（５）
　　　（開発による消費電力減に比例し、節電効果の影響も70％減とした）
＜指標A＞　・（４）－（５）＝９７．２kWh／（個・年）　
　　　　　　　　　 受電端係数及び原油換算を考慮して　0.021667kL/個・年
＜指標B＞　・大型テレビ導入量は2024年時点で年間400万台、以降、年平均成長率（CAGR）１％と推定
　　　　　　　　・有機ELテレビ導入量は、販売開始の2026年時点で年間75万台、以降、年平均成長率（CAGR）10％で推移すると推定
　　　　　　　　・開発技術の市場導入量は、提案者の有機ELテレビ販売シェアで、当初2026年の5%から、2034年以降33％に増大させる計画
　　　　　　　　　　～２０４０年時点での市場累計量は、5,741,987台
　この累計量に、指標Aをかけ合わせて、12.441万KL／年　が、本技術での２０４０年度に達成できる省エネ効果量である。</t>
    <rPh sb="460" eb="462">
      <t>シヒョウ</t>
    </rPh>
    <rPh sb="499" eb="502">
      <t>ジュデンタン</t>
    </rPh>
    <rPh sb="502" eb="504">
      <t>ケイスウ</t>
    </rPh>
    <rPh sb="504" eb="505">
      <t>オヨ</t>
    </rPh>
    <rPh sb="506" eb="510">
      <t>ゲンユカンサン</t>
    </rPh>
    <rPh sb="511" eb="513">
      <t>コウリョ</t>
    </rPh>
    <rPh sb="527" eb="528">
      <t>コ</t>
    </rPh>
    <rPh sb="529" eb="530">
      <t>ネン</t>
    </rPh>
    <rPh sb="533" eb="535">
      <t>シヒョウ</t>
    </rPh>
    <rPh sb="674" eb="677">
      <t>テイアンシャ</t>
    </rPh>
    <phoneticPr fontId="6"/>
  </si>
  <si>
    <t>例⑤は欠番です。</t>
    <rPh sb="0" eb="1">
      <t>レイ</t>
    </rPh>
    <rPh sb="3" eb="5">
      <t>ケツバン</t>
    </rPh>
    <phoneticPr fontId="2"/>
  </si>
  <si>
    <t>目次</t>
    <rPh sb="0" eb="2">
      <t>モクジ</t>
    </rPh>
    <phoneticPr fontId="2"/>
  </si>
  <si>
    <t>（事例⑤は欠番）</t>
    <rPh sb="1" eb="3">
      <t>ジレイ</t>
    </rPh>
    <phoneticPr fontId="2"/>
  </si>
  <si>
    <r>
      <t>事例①</t>
    </r>
    <r>
      <rPr>
        <sz val="11"/>
        <rFont val="Calibri"/>
        <family val="2"/>
      </rPr>
      <t xml:space="preserve">. </t>
    </r>
    <r>
      <rPr>
        <sz val="11"/>
        <rFont val="游ゴシック"/>
        <family val="3"/>
        <charset val="128"/>
        <scheme val="minor"/>
      </rPr>
      <t>高機能接合剤の開発による電子部品熱処理工程の省エネルギー</t>
    </r>
    <phoneticPr fontId="2"/>
  </si>
  <si>
    <r>
      <t>事例③</t>
    </r>
    <r>
      <rPr>
        <sz val="11"/>
        <rFont val="Calibri"/>
        <family val="2"/>
      </rPr>
      <t>. 500MW</t>
    </r>
    <r>
      <rPr>
        <sz val="11"/>
        <rFont val="游ゴシック"/>
        <family val="3"/>
        <charset val="128"/>
        <scheme val="minor"/>
      </rPr>
      <t>級耐熱型高効率発電機</t>
    </r>
    <phoneticPr fontId="2"/>
  </si>
  <si>
    <r>
      <t>事例④</t>
    </r>
    <r>
      <rPr>
        <sz val="11"/>
        <rFont val="Calibri"/>
        <family val="2"/>
      </rPr>
      <t xml:space="preserve">. </t>
    </r>
    <r>
      <rPr>
        <sz val="11"/>
        <rFont val="游ゴシック"/>
        <family val="3"/>
        <charset val="128"/>
        <scheme val="minor"/>
      </rPr>
      <t>自動車部材の</t>
    </r>
    <r>
      <rPr>
        <sz val="11"/>
        <rFont val="Calibri"/>
        <family val="2"/>
      </rPr>
      <t>CFRP</t>
    </r>
    <r>
      <rPr>
        <sz val="11"/>
        <rFont val="游ゴシック"/>
        <family val="3"/>
        <charset val="128"/>
        <scheme val="minor"/>
      </rPr>
      <t>への置き換えによる車両の軽量化</t>
    </r>
    <phoneticPr fontId="2"/>
  </si>
  <si>
    <r>
      <t>事例⑥</t>
    </r>
    <r>
      <rPr>
        <sz val="11"/>
        <rFont val="Calibri"/>
        <family val="2"/>
      </rPr>
      <t xml:space="preserve">. </t>
    </r>
    <r>
      <rPr>
        <sz val="11"/>
        <rFont val="游ゴシック"/>
        <family val="3"/>
        <charset val="128"/>
        <scheme val="minor"/>
      </rPr>
      <t>商業施設の空調制御技術の開発</t>
    </r>
    <phoneticPr fontId="2"/>
  </si>
  <si>
    <r>
      <t>事例⑦</t>
    </r>
    <r>
      <rPr>
        <sz val="11"/>
        <rFont val="Calibri"/>
        <family val="2"/>
      </rPr>
      <t xml:space="preserve">. </t>
    </r>
    <r>
      <rPr>
        <sz val="11"/>
        <rFont val="游ゴシック"/>
        <family val="3"/>
        <charset val="128"/>
        <scheme val="minor"/>
      </rPr>
      <t>大型有機</t>
    </r>
    <r>
      <rPr>
        <sz val="11"/>
        <rFont val="Calibri"/>
        <family val="2"/>
      </rPr>
      <t>EL</t>
    </r>
    <r>
      <rPr>
        <sz val="11"/>
        <rFont val="游ゴシック"/>
        <family val="3"/>
        <charset val="128"/>
        <scheme val="minor"/>
      </rPr>
      <t>テレビの技術開発</t>
    </r>
    <phoneticPr fontId="2"/>
  </si>
  <si>
    <r>
      <t>事例⑧</t>
    </r>
    <r>
      <rPr>
        <sz val="11"/>
        <rFont val="Calibri"/>
        <family val="2"/>
      </rPr>
      <t xml:space="preserve">. </t>
    </r>
    <r>
      <rPr>
        <sz val="11"/>
        <rFont val="游ゴシック"/>
        <family val="3"/>
        <charset val="128"/>
        <scheme val="minor"/>
      </rPr>
      <t>ガスタービン（</t>
    </r>
    <r>
      <rPr>
        <sz val="11"/>
        <rFont val="Calibri"/>
        <family val="2"/>
      </rPr>
      <t>GT</t>
    </r>
    <r>
      <rPr>
        <sz val="11"/>
        <rFont val="游ゴシック"/>
        <family val="3"/>
        <charset val="128"/>
        <scheme val="minor"/>
      </rPr>
      <t>）の開発</t>
    </r>
    <phoneticPr fontId="2"/>
  </si>
  <si>
    <r>
      <t>事例⑨</t>
    </r>
    <r>
      <rPr>
        <sz val="11"/>
        <rFont val="Calibri"/>
        <family val="2"/>
      </rPr>
      <t xml:space="preserve">. </t>
    </r>
    <r>
      <rPr>
        <sz val="11"/>
        <rFont val="游ゴシック"/>
        <family val="3"/>
        <charset val="128"/>
        <scheme val="minor"/>
      </rPr>
      <t>家庭用小型ヒートポンプ給湯器</t>
    </r>
    <phoneticPr fontId="2"/>
  </si>
  <si>
    <r>
      <t>事例②</t>
    </r>
    <r>
      <rPr>
        <sz val="11"/>
        <rFont val="Calibri"/>
        <family val="2"/>
      </rPr>
      <t xml:space="preserve">. </t>
    </r>
    <r>
      <rPr>
        <sz val="11"/>
        <rFont val="游ゴシック"/>
        <family val="3"/>
        <charset val="128"/>
        <scheme val="minor"/>
      </rPr>
      <t>基礎化学品</t>
    </r>
    <r>
      <rPr>
        <sz val="11"/>
        <rFont val="Calibri"/>
        <family val="2"/>
      </rPr>
      <t>X</t>
    </r>
    <r>
      <rPr>
        <sz val="11"/>
        <rFont val="游ゴシック"/>
        <family val="3"/>
        <charset val="128"/>
        <scheme val="minor"/>
      </rPr>
      <t>のバイオプロセス生産による省エネルギー</t>
    </r>
    <phoneticPr fontId="2"/>
  </si>
  <si>
    <t>乗用車の軽量化材料</t>
    <rPh sb="0" eb="3">
      <t>ジョウヨウシャ</t>
    </rPh>
    <rPh sb="4" eb="9">
      <t>ケイリョウカザイリョウ</t>
    </rPh>
    <phoneticPr fontId="2"/>
  </si>
  <si>
    <t>　○現状／技術開発ターゲット
　　・商業施設のエネルギー消費原単位：３５７２MJ／（m2・年）　　・・・（１）
　　・商業施設の空調のエネルギー消費量の割合：４０%　　　　 ・・・（２）
　　・開発技術で得られる省エネルギー率：２０%　　　　　　　　　　　　・・・（３）
　　　　開発技術を用いたエネルギー消費量：（１）の８０％
　指標Ａ（効果量）
　　従来技術の年間エネルギー消費量は
　　　　（１）×（２）　＝　1428.8　MJ／年
　　開発技術を導入した商業施設の床面積１m2当たりの年間の一次エネルギーは、
　　　　（１）＊０．８×（２）　＝　1143.0　MJ／年　　　　　
　　開発技術１ｍ２あたりの効果量は、（1428.8－1143.0）×原油換算値　＝　0.0073726 ｋL/（m2・年）　　　　　　　　　　　　　　　　
　指標B（市場導入量）
　　本事業で対象とする商業施設の新築着工面積は1140万m2／年で一定、提案者のシェアも30％で一定、
　　　その中で本技術の適用割合は、販売開始の2025年の５％から2030年の30％を経て2040年に50％に到達すると想定
　　2040年時には、市場累計量として、17,544,600 ｍ２の面積に新技術が導入される計画である。
省エネ効果量
　　指標A　×　指標B　＝　0.0073726　×　17,544,600　＝　12.93万ｋL／年　　　　　　　　　　　　</t>
    <rPh sb="298" eb="300">
      <t>カイハツ</t>
    </rPh>
    <rPh sb="300" eb="302">
      <t>ギジュツ</t>
    </rPh>
    <rPh sb="309" eb="312">
      <t>コウカリョウ</t>
    </rPh>
    <rPh sb="376" eb="378">
      <t>シヒョウ</t>
    </rPh>
    <rPh sb="380" eb="382">
      <t>シジョウ</t>
    </rPh>
    <rPh sb="382" eb="385">
      <t>ドウニュウリョウ</t>
    </rPh>
    <rPh sb="389" eb="390">
      <t>ホン</t>
    </rPh>
    <rPh sb="390" eb="392">
      <t>ジギョウ</t>
    </rPh>
    <rPh sb="393" eb="395">
      <t>タイショウ</t>
    </rPh>
    <rPh sb="418" eb="419">
      <t>ネン</t>
    </rPh>
    <rPh sb="420" eb="422">
      <t>イッテイ</t>
    </rPh>
    <rPh sb="423" eb="426">
      <t>テイアンシャ</t>
    </rPh>
    <rPh sb="435" eb="437">
      <t>イッテイ</t>
    </rPh>
    <rPh sb="444" eb="445">
      <t>ナカ</t>
    </rPh>
    <rPh sb="456" eb="460">
      <t>ハンバイカイシ</t>
    </rPh>
    <rPh sb="465" eb="466">
      <t>ネン</t>
    </rPh>
    <rPh sb="475" eb="476">
      <t>ネン</t>
    </rPh>
    <rPh sb="481" eb="482">
      <t>ヘ</t>
    </rPh>
    <rPh sb="493" eb="495">
      <t>トウタツ</t>
    </rPh>
    <rPh sb="498" eb="500">
      <t>ソウテイ</t>
    </rPh>
    <phoneticPr fontId="6"/>
  </si>
  <si>
    <r>
      <t>　＜前提＞
　○現状／技術開発ターゲット
　　・従来の家庭用小型ヒートポンプ給湯器COPの現状値：５．０　　　　　・・・（１）
　　・技術開発する家庭用小型ヒートポンプ給湯器COPの目標値：８．０　・・・（２）
　　・年間給湯負荷：１８０００MJ／年・台　　　　　　　　　　　　　　　　　　　 ・・・（３）
　○定数等　　　　　　　　（注）別表1より
　　・電力受電端発熱量：　８．６４MJ／kWh　　　　　　　　　　　　　　　　　　・・・（７）
　　・電力消費時発生熱量：３．６００MJ／kWh　　　　　　　　　　　　　　　　 ・・・（８）
　○原油への換算
　　・発熱量１MJを原油２．５８×１０</t>
    </r>
    <r>
      <rPr>
        <vertAlign val="superscript"/>
        <sz val="14"/>
        <rFont val="ＭＳ Ｐゴシック"/>
        <family val="3"/>
        <charset val="128"/>
      </rPr>
      <t>－５</t>
    </r>
    <r>
      <rPr>
        <sz val="10.5"/>
        <rFont val="ＭＳ Ｐゴシック"/>
        <family val="3"/>
        <charset val="128"/>
      </rPr>
      <t>kL　　　　　　　　　　　　　　　　　　・・・（９）
＜指標Ａ（効果量）＞
　　①開発器１台当たりの稼働に必要な一次エネルギーは、
　　（３）÷（８）÷（２）＝１８０００÷３．６００÷８．０＝　６２５kWh／（台・年）　　　・・・（１０）
　　②従来の家庭用小型ヒートポンプ給湯器１台当たりの稼働に必要な一次エネルギーは、
　　（３）÷（８）÷（１）＝１８０００÷３．６００÷５．０＝１０００ｋWh／（台・年）　　　・・・（１１）
　　③よって、開発器１台当たりの年間の省エネルギー量は、（１０）、（１１）より
　　　１０００－６２５＝３７５ｋWh／（台・年）　　　　　　　　　　　　　　　　　　　　　　・・・（１２）
　　④原油量に換算すると、
　　（１２）×（９）＝３７５×８．６４×２．５８×１０</t>
    </r>
    <r>
      <rPr>
        <vertAlign val="superscript"/>
        <sz val="12"/>
        <rFont val="ＭＳ Ｐゴシック"/>
        <family val="3"/>
        <charset val="128"/>
      </rPr>
      <t>－５</t>
    </r>
    <r>
      <rPr>
        <sz val="10.5"/>
        <rFont val="ＭＳ Ｐゴシック"/>
        <family val="3"/>
        <charset val="128"/>
      </rPr>
      <t>＝０．０８３５９２kL／（台・年） ・・・（１３）</t>
    </r>
    <phoneticPr fontId="2"/>
  </si>
  <si>
    <t>＜前提＞
　○現状／技術開発ターゲット
　　・販売開始３年後の普及台数（全メーカー製品のストック）：１７００万台　　 　　　　　　　　　・・・（４）
　　・２０４０年の普及台数（全メーカー製品のストック）：２６００万台　　　　　 　　　　　　　　　　 ・・・（５）
　　・上記の内提案者のシェア：現在のシェア20％を２０３６年以降全て開発器で維持する　 　・・・（６）
＜指標Ｂ（導入量）＞
　　　２０４０年における当該開発器の市場ストック量は、下表より１８５万台　　　　　　　　　　・・・（１４）
　　　販売開始３年後　　　　　　　　 の市場ストック量は、下表より　２５万台　　　　　　　　　　・・・（１５）
●省エネルギー効果量（原油換算値）
　　以上の指標Ａ、指標Ｂの計算結果から、
　（１３）×（１４）＝０．０８３５９２×１８５万台＝１５．４６５ 万KL（＠２０３０年）
[参考値]
　（１３）×（１５）＝０．０８３５９２×２５万台＝２．０９万KL（＠販売開始後３年後）</t>
    <rPh sb="148" eb="150">
      <t>ゲンザイ</t>
    </rPh>
    <rPh sb="162" eb="163">
      <t>ネン</t>
    </rPh>
    <rPh sb="163" eb="165">
      <t>イコウ</t>
    </rPh>
    <rPh sb="165" eb="166">
      <t>スベ</t>
    </rPh>
    <rPh sb="224" eb="226">
      <t>カヒョウ</t>
    </rPh>
    <rPh sb="254" eb="256">
      <t>ハンバイ</t>
    </rPh>
    <rPh sb="256" eb="258">
      <t>カイシ</t>
    </rPh>
    <rPh sb="259" eb="261">
      <t>ネンゴ</t>
    </rPh>
    <phoneticPr fontId="2"/>
  </si>
  <si>
    <t>　＜前提＞
　○現状／技術開発ターゲット
　　・従来の家庭用小型ヒートポンプ給湯器COPの現状値：５．０　　　　・・・（１）
　　・技術開発する家庭用小型ヒートポンプ給湯器COPの目標値：８．０・・・（２）
　　・年間給湯負荷：１８０００MJ／年・台　　　　　　　　　　　　　　　　　　　 ・・・（３）
　　・販売開始３年後の普及台数（全メーカー製品のストック）：１７００万台　　 　・・・（４）
　　・２０４０年の普及台数（全メーカー製品のストック）：２６００万台　　　　　　  　・・・（５）
　　・提案者のシェア：現在のシェア20％を２０３６年以降全て開発器で維持する・・・（６）
＜指標Ａ（効果量）＞
　　①開発器１台当たりの稼働に必要な一次エネルギーは、
　　（３）÷（８）÷（２）＝１８０００÷３．６００÷８．０＝６２５ｋWh／（台・年）・・・（１０）
　　②従来の家庭用小型ヒートポンプ給湯器１台当たりの稼働に必要な一次エネルギーは、
　　（３）÷（８）÷（１）＝１８０００÷３．６００÷５．０×８．６４＝１０００ｋWh／（台・年）・・・（１１）
　　③よって、開発器１台当たりの年間の省エネルギー量は、（１０）、（１１）より
　　　１０００－６２５＝３７５ｋWh／（台・年）　　　　　　　　　　　　　　　　　　　　　 ・・・（１２）
　　④原油量に換算すると、
　　（１２）×（９）＝３７５×８．６４×２．５８×１０－５＝０．０８３５９２kL／（台・年）　 　 ・・・（１３）
＜指標Ｂ（導入量）＞
　　①２０４０年における当該開発器の市場ストック量は１８５万台　　　　　　　　 ・・・（１４）
●省エネルギー効果量（原油換算値）
　（１３）×（１４）＝０．０８３５９２×１８５万台＝１５．４６５ 万KL（＠２０４０年）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</si>
</sst>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E+00"/>
    <numFmt numFmtId="177" formatCode="0.000000000"/>
    <numFmt numFmtId="178" formatCode="#,##0.0000000000;[Red]\-#,##0.0000000000"/>
    <numFmt numFmtId="179" formatCode="0.0000000000"/>
    <numFmt numFmtId="180" formatCode="0.000"/>
    <numFmt numFmtId="181" formatCode="0.0"/>
    <numFmt numFmtId="182" formatCode="0.0%"/>
    <numFmt numFmtId="183" formatCode="#,##0_ ;[Red]\-#,##0\ "/>
    <numFmt numFmtId="184" formatCode="0.000_ "/>
    <numFmt numFmtId="185" formatCode="#,##0_);[Red]\(#,##0\)"/>
    <numFmt numFmtId="186" formatCode="#,##0.000;[Red]\-#,##0.000"/>
    <numFmt numFmtId="187" formatCode="#,##0.0;[Red]\-#,##0.0"/>
    <numFmt numFmtId="188" formatCode="#,##0.000000;[Red]\-#,##0.000000"/>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rgb="FFC00000"/>
      <name val="游ゴシック"/>
      <family val="3"/>
      <charset val="128"/>
      <scheme val="minor"/>
    </font>
    <font>
      <sz val="10.5"/>
      <color theme="1"/>
      <name val="游ゴシック"/>
      <family val="3"/>
      <charset val="128"/>
      <scheme val="minor"/>
    </font>
    <font>
      <sz val="10.5"/>
      <name val="Meiryo UI"/>
      <family val="3"/>
      <charset val="128"/>
    </font>
    <font>
      <sz val="6"/>
      <name val="ＭＳ Ｐゴシック"/>
      <family val="3"/>
      <charset val="128"/>
    </font>
    <font>
      <sz val="10.5"/>
      <name val="ＭＳ Ｐゴシック"/>
      <family val="3"/>
      <charset val="128"/>
    </font>
    <font>
      <b/>
      <sz val="14"/>
      <color theme="1"/>
      <name val="游ゴシック"/>
      <family val="3"/>
      <charset val="128"/>
      <scheme val="minor"/>
    </font>
    <font>
      <b/>
      <u/>
      <sz val="14"/>
      <color theme="1"/>
      <name val="游ゴシック"/>
      <family val="3"/>
      <charset val="128"/>
      <scheme val="minor"/>
    </font>
    <font>
      <b/>
      <sz val="10.5"/>
      <color theme="1"/>
      <name val="游ゴシック"/>
      <family val="3"/>
      <charset val="128"/>
      <scheme val="minor"/>
    </font>
    <font>
      <b/>
      <sz val="22"/>
      <color theme="1"/>
      <name val="游ゴシック"/>
      <family val="3"/>
      <charset val="128"/>
      <scheme val="minor"/>
    </font>
    <font>
      <b/>
      <sz val="18"/>
      <color theme="1"/>
      <name val="游ゴシック"/>
      <family val="3"/>
      <charset val="128"/>
      <scheme val="minor"/>
    </font>
    <font>
      <sz val="11"/>
      <color rgb="FFFF0000"/>
      <name val="游ゴシック"/>
      <family val="3"/>
      <charset val="128"/>
      <scheme val="minor"/>
    </font>
    <font>
      <b/>
      <sz val="11"/>
      <color rgb="FFFF0000"/>
      <name val="游ゴシック"/>
      <family val="3"/>
      <charset val="128"/>
      <scheme val="minor"/>
    </font>
    <font>
      <u/>
      <sz val="11"/>
      <color theme="10"/>
      <name val="游ゴシック"/>
      <family val="2"/>
      <charset val="128"/>
      <scheme val="minor"/>
    </font>
    <font>
      <sz val="10.5"/>
      <name val="游ゴシック"/>
      <family val="3"/>
      <charset val="128"/>
      <scheme val="minor"/>
    </font>
    <font>
      <b/>
      <sz val="10.5"/>
      <color rgb="FFC00000"/>
      <name val="游ゴシック"/>
      <family val="3"/>
      <charset val="128"/>
      <scheme val="minor"/>
    </font>
    <font>
      <b/>
      <sz val="10.5"/>
      <color rgb="FFFF0000"/>
      <name val="游ゴシック"/>
      <family val="3"/>
      <charset val="128"/>
      <scheme val="minor"/>
    </font>
    <font>
      <u/>
      <sz val="10.5"/>
      <color theme="10"/>
      <name val="游ゴシック"/>
      <family val="3"/>
      <charset val="128"/>
      <scheme val="minor"/>
    </font>
    <font>
      <b/>
      <u/>
      <sz val="14"/>
      <name val="游ゴシック"/>
      <family val="3"/>
      <charset val="128"/>
      <scheme val="minor"/>
    </font>
    <font>
      <u/>
      <sz val="11"/>
      <color rgb="FFFF0000"/>
      <name val="游ゴシック"/>
      <family val="3"/>
      <charset val="128"/>
      <scheme val="minor"/>
    </font>
    <font>
      <sz val="10.5"/>
      <color rgb="FFFF0000"/>
      <name val="游ゴシック"/>
      <family val="3"/>
      <charset val="128"/>
      <scheme val="minor"/>
    </font>
    <font>
      <sz val="10.5"/>
      <color theme="1"/>
      <name val="游ゴシック"/>
      <family val="2"/>
      <charset val="128"/>
      <scheme val="minor"/>
    </font>
    <font>
      <vertAlign val="superscript"/>
      <sz val="14"/>
      <color theme="1"/>
      <name val="游ゴシック"/>
      <family val="3"/>
      <charset val="128"/>
      <scheme val="minor"/>
    </font>
    <font>
      <vertAlign val="superscript"/>
      <sz val="10.5"/>
      <color theme="1"/>
      <name val="游ゴシック"/>
      <family val="3"/>
      <charset val="128"/>
      <scheme val="minor"/>
    </font>
    <font>
      <b/>
      <sz val="14"/>
      <name val="游ゴシック"/>
      <family val="3"/>
      <charset val="128"/>
      <scheme val="minor"/>
    </font>
    <font>
      <sz val="11"/>
      <name val="游ゴシック"/>
      <family val="3"/>
      <charset val="128"/>
      <scheme val="minor"/>
    </font>
    <font>
      <sz val="11"/>
      <name val="游ゴシック"/>
      <family val="2"/>
      <charset val="128"/>
      <scheme val="minor"/>
    </font>
    <font>
      <sz val="10.5"/>
      <color theme="1"/>
      <name val="ＭＳ Ｐゴシック"/>
      <family val="3"/>
      <charset val="128"/>
    </font>
    <font>
      <sz val="11"/>
      <color theme="1"/>
      <name val="ＭＳ Ｐゴシック"/>
      <family val="3"/>
      <charset val="128"/>
    </font>
    <font>
      <vertAlign val="superscript"/>
      <sz val="14"/>
      <color theme="1"/>
      <name val="ＭＳ Ｐゴシック"/>
      <family val="3"/>
      <charset val="128"/>
    </font>
    <font>
      <vertAlign val="superscript"/>
      <sz val="14"/>
      <name val="ＭＳ Ｐゴシック"/>
      <family val="3"/>
      <charset val="128"/>
    </font>
    <font>
      <vertAlign val="superscript"/>
      <sz val="14"/>
      <name val="游ゴシック"/>
      <family val="3"/>
      <charset val="128"/>
      <scheme val="minor"/>
    </font>
    <font>
      <sz val="10"/>
      <name val="ＭＳ Ｐゴシック"/>
      <family val="3"/>
      <charset val="128"/>
    </font>
    <font>
      <vertAlign val="superscript"/>
      <sz val="12"/>
      <name val="ＭＳ Ｐゴシック"/>
      <family val="3"/>
      <charset val="128"/>
    </font>
    <font>
      <sz val="11"/>
      <name val="Calibri"/>
      <family val="2"/>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rgb="FFC00000"/>
      </left>
      <right style="medium">
        <color rgb="FFC00000"/>
      </right>
      <top style="medium">
        <color rgb="FFC00000"/>
      </top>
      <bottom style="medium">
        <color rgb="FFC0000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rgb="FF00B050"/>
      </left>
      <right/>
      <top/>
      <bottom/>
      <diagonal/>
    </border>
    <border>
      <left style="thin">
        <color rgb="FF00B050"/>
      </left>
      <right style="thin">
        <color rgb="FF00B050"/>
      </right>
      <top style="thin">
        <color rgb="FF00B050"/>
      </top>
      <bottom style="thin">
        <color rgb="FF00B050"/>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right style="medium">
        <color rgb="FFC00000"/>
      </right>
      <top/>
      <bottom/>
      <diagonal/>
    </border>
    <border>
      <left style="thin">
        <color indexed="64"/>
      </left>
      <right style="medium">
        <color rgb="FFC00000"/>
      </right>
      <top style="thin">
        <color indexed="64"/>
      </top>
      <bottom/>
      <diagonal/>
    </border>
    <border>
      <left style="medium">
        <color rgb="FFC00000"/>
      </left>
      <right style="medium">
        <color rgb="FFC00000"/>
      </right>
      <top style="medium">
        <color rgb="FFC00000"/>
      </top>
      <bottom/>
      <diagonal/>
    </border>
    <border>
      <left/>
      <right/>
      <top style="thin">
        <color indexed="64"/>
      </top>
      <bottom/>
      <diagonal/>
    </border>
    <border>
      <left style="medium">
        <color rgb="FFC00000"/>
      </left>
      <right style="medium">
        <color rgb="FF00B050"/>
      </right>
      <top style="medium">
        <color rgb="FF00B050"/>
      </top>
      <bottom/>
      <diagonal/>
    </border>
    <border>
      <left style="medium">
        <color rgb="FF00B050"/>
      </left>
      <right style="medium">
        <color rgb="FF00B050"/>
      </right>
      <top style="medium">
        <color rgb="FF00B050"/>
      </top>
      <bottom/>
      <diagonal/>
    </border>
    <border>
      <left style="thin">
        <color indexed="64"/>
      </left>
      <right style="medium">
        <color rgb="FFC00000"/>
      </right>
      <top/>
      <bottom style="thin">
        <color indexed="64"/>
      </bottom>
      <diagonal/>
    </border>
    <border>
      <left style="medium">
        <color rgb="FFC00000"/>
      </left>
      <right/>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medium">
        <color rgb="FF00B050"/>
      </right>
      <top style="medium">
        <color rgb="FF00B050"/>
      </top>
      <bottom style="thin">
        <color indexed="64"/>
      </bottom>
      <diagonal/>
    </border>
    <border>
      <left/>
      <right style="medium">
        <color rgb="FFC00000"/>
      </right>
      <top/>
      <bottom style="thin">
        <color indexed="64"/>
      </bottom>
      <diagonal/>
    </border>
    <border>
      <left style="medium">
        <color rgb="FFC00000"/>
      </left>
      <right style="medium">
        <color rgb="FF00B050"/>
      </right>
      <top/>
      <bottom style="thin">
        <color indexed="64"/>
      </bottom>
      <diagonal/>
    </border>
    <border>
      <left style="medium">
        <color rgb="FF00B050"/>
      </left>
      <right style="medium">
        <color rgb="FF00B050"/>
      </right>
      <top/>
      <bottom style="thin">
        <color indexed="64"/>
      </bottom>
      <diagonal/>
    </border>
    <border>
      <left style="thin">
        <color indexed="64"/>
      </left>
      <right/>
      <top style="thin">
        <color indexed="64"/>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right style="medium">
        <color rgb="FFC00000"/>
      </right>
      <top style="thin">
        <color indexed="64"/>
      </top>
      <bottom style="thin">
        <color indexed="64"/>
      </bottom>
      <diagonal/>
    </border>
    <border>
      <left/>
      <right style="medium">
        <color rgb="FF00B050"/>
      </right>
      <top style="thin">
        <color indexed="64"/>
      </top>
      <bottom style="thin">
        <color indexed="64"/>
      </bottom>
      <diagonal/>
    </border>
    <border>
      <left style="medium">
        <color rgb="FF00B050"/>
      </left>
      <right style="medium">
        <color rgb="FF00B05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medium">
        <color rgb="FF00B050"/>
      </right>
      <top/>
      <bottom style="medium">
        <color rgb="FF00B050"/>
      </bottom>
      <diagonal/>
    </border>
    <border>
      <left/>
      <right style="medium">
        <color rgb="FFC00000"/>
      </right>
      <top style="thin">
        <color indexed="64"/>
      </top>
      <bottom style="medium">
        <color rgb="FFC00000"/>
      </bottom>
      <diagonal/>
    </border>
    <border>
      <left/>
      <right style="medium">
        <color rgb="FF00B050"/>
      </right>
      <top style="thin">
        <color indexed="64"/>
      </top>
      <bottom style="medium">
        <color rgb="FF00B050"/>
      </bottom>
      <diagonal/>
    </border>
    <border>
      <left style="medium">
        <color rgb="FF00B050"/>
      </left>
      <right style="medium">
        <color rgb="FF00B050"/>
      </right>
      <top style="thin">
        <color indexed="64"/>
      </top>
      <bottom style="medium">
        <color rgb="FF00B050"/>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190">
    <xf numFmtId="0" fontId="0" fillId="0" borderId="0" xfId="0">
      <alignment vertical="center"/>
    </xf>
    <xf numFmtId="0" fontId="1" fillId="0" borderId="0" xfId="2" applyAlignment="1">
      <alignment vertical="top" wrapText="1"/>
    </xf>
    <xf numFmtId="0" fontId="1" fillId="0" borderId="0" xfId="2" applyAlignment="1">
      <alignment horizontal="left" vertical="top"/>
    </xf>
    <xf numFmtId="0" fontId="3" fillId="0" borderId="0" xfId="2" applyFont="1" applyAlignment="1">
      <alignment vertical="top" wrapText="1"/>
    </xf>
    <xf numFmtId="0" fontId="1" fillId="0" borderId="0" xfId="2">
      <alignment vertical="center"/>
    </xf>
    <xf numFmtId="0" fontId="4" fillId="0" borderId="0" xfId="2" applyFont="1">
      <alignment vertical="center"/>
    </xf>
    <xf numFmtId="0" fontId="4" fillId="0" borderId="0" xfId="2" applyFont="1" applyAlignment="1">
      <alignment vertical="top" wrapText="1"/>
    </xf>
    <xf numFmtId="0" fontId="5" fillId="0" borderId="0" xfId="0" applyFont="1" applyAlignment="1">
      <alignment horizontal="right" vertical="center"/>
    </xf>
    <xf numFmtId="0" fontId="5" fillId="0" borderId="1" xfId="0" applyFont="1" applyBorder="1" applyAlignment="1">
      <alignment horizontal="right" vertical="center"/>
    </xf>
    <xf numFmtId="0" fontId="3" fillId="0" borderId="0" xfId="2" applyFont="1">
      <alignment vertical="center"/>
    </xf>
    <xf numFmtId="0" fontId="3" fillId="0" borderId="0" xfId="2" applyFont="1" applyAlignment="1">
      <alignment vertical="top"/>
    </xf>
    <xf numFmtId="0" fontId="4" fillId="0" borderId="0" xfId="2" applyFont="1" applyAlignment="1">
      <alignment vertical="top"/>
    </xf>
    <xf numFmtId="0" fontId="4" fillId="0" borderId="0" xfId="2" applyFont="1" applyAlignment="1">
      <alignment horizontal="left" vertical="top"/>
    </xf>
    <xf numFmtId="38" fontId="7" fillId="0" borderId="0" xfId="3" applyFont="1" applyAlignment="1">
      <alignment vertical="top" wrapText="1"/>
    </xf>
    <xf numFmtId="38" fontId="0" fillId="0" borderId="0" xfId="3" applyFont="1" applyAlignment="1">
      <alignment vertical="top" wrapText="1"/>
    </xf>
    <xf numFmtId="0" fontId="9" fillId="0" borderId="0" xfId="2" applyFont="1">
      <alignment vertical="center"/>
    </xf>
    <xf numFmtId="0" fontId="1" fillId="0" borderId="0" xfId="2" applyAlignment="1">
      <alignment horizontal="left" vertical="center"/>
    </xf>
    <xf numFmtId="0" fontId="10" fillId="0" borderId="0" xfId="2" applyFont="1">
      <alignment vertical="center"/>
    </xf>
    <xf numFmtId="38" fontId="7" fillId="2" borderId="2" xfId="3" applyFont="1" applyFill="1" applyBorder="1" applyAlignment="1" applyProtection="1">
      <alignment horizontal="center" vertical="center"/>
      <protection locked="0"/>
    </xf>
    <xf numFmtId="0" fontId="4" fillId="0" borderId="0" xfId="2" applyFont="1" applyAlignment="1">
      <alignment horizontal="left" vertical="center"/>
    </xf>
    <xf numFmtId="0" fontId="13" fillId="0" borderId="0" xfId="2" applyFont="1">
      <alignment vertical="center"/>
    </xf>
    <xf numFmtId="0" fontId="14" fillId="0" borderId="0" xfId="2" applyFont="1">
      <alignment vertical="center"/>
    </xf>
    <xf numFmtId="2" fontId="8" fillId="0" borderId="0" xfId="2" applyNumberFormat="1" applyFont="1" applyAlignment="1">
      <alignment horizontal="right" vertical="center"/>
    </xf>
    <xf numFmtId="0" fontId="15" fillId="0" borderId="0" xfId="4">
      <alignment vertical="center"/>
    </xf>
    <xf numFmtId="0" fontId="18" fillId="0" borderId="0" xfId="2" applyFont="1" applyAlignment="1">
      <alignment vertical="top" wrapText="1"/>
    </xf>
    <xf numFmtId="0" fontId="19" fillId="0" borderId="0" xfId="4" applyFont="1">
      <alignment vertical="center"/>
    </xf>
    <xf numFmtId="0" fontId="20" fillId="0" borderId="0" xfId="2" applyFont="1">
      <alignment vertical="center"/>
    </xf>
    <xf numFmtId="0" fontId="21" fillId="0" borderId="0" xfId="4" applyFont="1">
      <alignment vertical="center"/>
    </xf>
    <xf numFmtId="0" fontId="8" fillId="0" borderId="0" xfId="2" applyFont="1">
      <alignment vertical="center"/>
    </xf>
    <xf numFmtId="0" fontId="4" fillId="0" borderId="17" xfId="2" applyFont="1" applyBorder="1">
      <alignment vertical="center"/>
    </xf>
    <xf numFmtId="2" fontId="10" fillId="0" borderId="0" xfId="2" applyNumberFormat="1" applyFont="1" applyAlignment="1">
      <alignment horizontal="right" vertical="center"/>
    </xf>
    <xf numFmtId="0" fontId="22" fillId="0" borderId="0" xfId="2" applyFont="1">
      <alignment vertical="center"/>
    </xf>
    <xf numFmtId="2" fontId="8" fillId="3" borderId="18" xfId="2" applyNumberFormat="1" applyFont="1" applyFill="1" applyBorder="1">
      <alignment vertical="center"/>
    </xf>
    <xf numFmtId="0" fontId="16" fillId="0" borderId="0" xfId="2" applyFont="1">
      <alignment vertical="center"/>
    </xf>
    <xf numFmtId="0" fontId="4" fillId="4" borderId="2" xfId="2" applyFont="1" applyFill="1" applyBorder="1" applyAlignment="1" applyProtection="1">
      <alignment vertical="center" wrapText="1"/>
      <protection locked="0"/>
    </xf>
    <xf numFmtId="2" fontId="12" fillId="0" borderId="0" xfId="2" applyNumberFormat="1" applyFont="1" applyAlignment="1">
      <alignment horizontal="right" vertical="center"/>
    </xf>
    <xf numFmtId="2" fontId="4" fillId="0" borderId="0" xfId="2" applyNumberFormat="1" applyFont="1">
      <alignment vertical="center"/>
    </xf>
    <xf numFmtId="0" fontId="16" fillId="0" borderId="0" xfId="2" applyFont="1" applyAlignment="1">
      <alignment vertical="center" wrapText="1"/>
    </xf>
    <xf numFmtId="0" fontId="4" fillId="0" borderId="0" xfId="2" quotePrefix="1" applyFont="1" applyAlignment="1">
      <alignment horizontal="center" vertical="center"/>
    </xf>
    <xf numFmtId="176" fontId="7" fillId="4" borderId="2" xfId="3" applyNumberFormat="1" applyFont="1" applyFill="1" applyBorder="1" applyProtection="1">
      <alignment vertical="center"/>
      <protection locked="0"/>
    </xf>
    <xf numFmtId="0" fontId="4" fillId="0" borderId="0" xfId="2" applyFont="1" applyAlignment="1">
      <alignment horizontal="center" vertical="center"/>
    </xf>
    <xf numFmtId="0" fontId="4" fillId="0" borderId="0" xfId="2" quotePrefix="1" applyFont="1" applyAlignment="1">
      <alignment horizontal="left" vertical="center"/>
    </xf>
    <xf numFmtId="178" fontId="7" fillId="4" borderId="2" xfId="3" applyNumberFormat="1" applyFont="1" applyFill="1" applyBorder="1" applyProtection="1">
      <alignment vertical="center"/>
      <protection locked="0"/>
    </xf>
    <xf numFmtId="179" fontId="4" fillId="0" borderId="0" xfId="2" applyNumberFormat="1" applyFont="1">
      <alignment vertical="center"/>
    </xf>
    <xf numFmtId="178" fontId="7" fillId="4" borderId="2" xfId="3" applyNumberFormat="1" applyFont="1" applyFill="1" applyBorder="1" applyAlignment="1" applyProtection="1">
      <alignment horizontal="right" vertical="center"/>
      <protection locked="0"/>
    </xf>
    <xf numFmtId="9" fontId="4" fillId="0" borderId="0" xfId="1" applyFont="1">
      <alignment vertical="center"/>
    </xf>
    <xf numFmtId="40" fontId="0" fillId="0" borderId="0" xfId="3" applyNumberFormat="1" applyFont="1" applyFill="1" applyBorder="1" applyAlignment="1">
      <alignment horizontal="right" vertical="center"/>
    </xf>
    <xf numFmtId="0" fontId="26" fillId="0" borderId="0" xfId="2" applyFont="1">
      <alignment vertical="center"/>
    </xf>
    <xf numFmtId="0" fontId="1" fillId="0" borderId="0" xfId="2" applyAlignment="1">
      <alignment horizontal="center" vertical="center"/>
    </xf>
    <xf numFmtId="56" fontId="26" fillId="0" borderId="0" xfId="2" quotePrefix="1" applyNumberFormat="1" applyFont="1">
      <alignment vertical="center"/>
    </xf>
    <xf numFmtId="0" fontId="8" fillId="0" borderId="0" xfId="2" applyFont="1" applyAlignment="1">
      <alignment horizontal="left" vertical="center"/>
    </xf>
    <xf numFmtId="0" fontId="27" fillId="0" borderId="23" xfId="2" applyFont="1" applyBorder="1" applyAlignment="1">
      <alignment horizontal="center" vertical="center" wrapText="1"/>
    </xf>
    <xf numFmtId="0" fontId="27" fillId="0" borderId="28" xfId="2" applyFont="1" applyBorder="1" applyAlignment="1">
      <alignment horizontal="center" vertical="center" wrapText="1"/>
    </xf>
    <xf numFmtId="0" fontId="1" fillId="0" borderId="29" xfId="2" applyBorder="1" applyAlignment="1">
      <alignment horizontal="center" vertical="center" wrapText="1"/>
    </xf>
    <xf numFmtId="0" fontId="27" fillId="0" borderId="30" xfId="2" applyFont="1" applyBorder="1" applyAlignment="1">
      <alignment horizontal="center" vertical="center" wrapText="1"/>
    </xf>
    <xf numFmtId="0" fontId="1" fillId="0" borderId="34" xfId="2" applyBorder="1" applyAlignment="1">
      <alignment horizontal="center" vertical="center" wrapText="1"/>
    </xf>
    <xf numFmtId="38" fontId="0" fillId="4" borderId="35" xfId="3" applyFont="1" applyFill="1" applyBorder="1" applyAlignment="1" applyProtection="1">
      <alignment vertical="center" wrapText="1"/>
      <protection locked="0"/>
    </xf>
    <xf numFmtId="38" fontId="0" fillId="4" borderId="36" xfId="3" applyFont="1" applyFill="1" applyBorder="1" applyAlignment="1" applyProtection="1">
      <alignment vertical="center" wrapText="1"/>
      <protection locked="0"/>
    </xf>
    <xf numFmtId="9" fontId="0" fillId="3" borderId="32" xfId="1" applyFont="1" applyFill="1" applyBorder="1" applyAlignment="1">
      <alignment vertical="center" wrapText="1"/>
    </xf>
    <xf numFmtId="38" fontId="0" fillId="4" borderId="37" xfId="3" applyFont="1" applyFill="1" applyBorder="1" applyAlignment="1" applyProtection="1">
      <alignment vertical="center" wrapText="1"/>
      <protection locked="0"/>
    </xf>
    <xf numFmtId="38" fontId="0" fillId="3" borderId="38" xfId="3" applyFont="1" applyFill="1" applyBorder="1" applyAlignment="1">
      <alignment vertical="center" wrapText="1"/>
    </xf>
    <xf numFmtId="180" fontId="4" fillId="3" borderId="39" xfId="2" applyNumberFormat="1" applyFont="1" applyFill="1" applyBorder="1">
      <alignment vertical="center"/>
    </xf>
    <xf numFmtId="38" fontId="0" fillId="4" borderId="40" xfId="3" applyFont="1" applyFill="1" applyBorder="1" applyAlignment="1" applyProtection="1">
      <alignment vertical="center" wrapText="1"/>
      <protection locked="0"/>
    </xf>
    <xf numFmtId="38" fontId="0" fillId="4" borderId="41" xfId="3" applyFont="1" applyFill="1" applyBorder="1" applyAlignment="1" applyProtection="1">
      <alignment vertical="center" wrapText="1"/>
      <protection locked="0"/>
    </xf>
    <xf numFmtId="9" fontId="0" fillId="3" borderId="42" xfId="1" applyFont="1" applyFill="1" applyBorder="1" applyAlignment="1">
      <alignment vertical="center" wrapText="1"/>
    </xf>
    <xf numFmtId="38" fontId="0" fillId="4" borderId="43" xfId="3" applyFont="1" applyFill="1" applyBorder="1" applyAlignment="1" applyProtection="1">
      <alignment vertical="center" wrapText="1"/>
      <protection locked="0"/>
    </xf>
    <xf numFmtId="38" fontId="0" fillId="5" borderId="44" xfId="3" applyFont="1" applyFill="1" applyBorder="1" applyAlignment="1">
      <alignment vertical="center" wrapText="1"/>
    </xf>
    <xf numFmtId="180" fontId="4" fillId="5" borderId="45" xfId="2" applyNumberFormat="1" applyFont="1" applyFill="1" applyBorder="1">
      <alignment vertical="center"/>
    </xf>
    <xf numFmtId="0" fontId="1" fillId="0" borderId="0" xfId="2" applyAlignment="1">
      <alignment horizontal="center" vertical="center" wrapText="1"/>
    </xf>
    <xf numFmtId="38" fontId="0" fillId="0" borderId="0" xfId="3" applyFont="1" applyFill="1" applyBorder="1" applyAlignment="1">
      <alignment vertical="center" wrapText="1"/>
    </xf>
    <xf numFmtId="9" fontId="0" fillId="0" borderId="0" xfId="5" applyFont="1" applyFill="1" applyBorder="1" applyAlignment="1">
      <alignment vertical="center" wrapText="1"/>
    </xf>
    <xf numFmtId="38" fontId="0" fillId="0" borderId="0" xfId="3" applyFont="1" applyFill="1" applyBorder="1" applyAlignment="1">
      <alignment horizontal="right" vertical="center" wrapText="1"/>
    </xf>
    <xf numFmtId="180" fontId="4" fillId="0" borderId="0" xfId="2" applyNumberFormat="1" applyFont="1" applyAlignment="1">
      <alignment horizontal="right" vertical="center"/>
    </xf>
    <xf numFmtId="0" fontId="30" fillId="0" borderId="0" xfId="2" applyFont="1">
      <alignment vertical="center"/>
    </xf>
    <xf numFmtId="182" fontId="0" fillId="3" borderId="32" xfId="1" applyNumberFormat="1" applyFont="1" applyFill="1" applyBorder="1" applyAlignment="1">
      <alignment vertical="center" wrapText="1"/>
    </xf>
    <xf numFmtId="182" fontId="0" fillId="3" borderId="42" xfId="1" applyNumberFormat="1" applyFont="1" applyFill="1" applyBorder="1" applyAlignment="1">
      <alignment vertical="center" wrapText="1"/>
    </xf>
    <xf numFmtId="183" fontId="7" fillId="4" borderId="2" xfId="3" applyNumberFormat="1" applyFont="1" applyFill="1" applyBorder="1" applyProtection="1">
      <alignment vertical="center"/>
      <protection locked="0"/>
    </xf>
    <xf numFmtId="183" fontId="7" fillId="4" borderId="2" xfId="3" applyNumberFormat="1" applyFont="1" applyFill="1" applyBorder="1" applyAlignment="1" applyProtection="1">
      <alignment horizontal="right" vertical="center"/>
      <protection locked="0"/>
    </xf>
    <xf numFmtId="38" fontId="7" fillId="4" borderId="2" xfId="3" applyFont="1" applyFill="1" applyBorder="1" applyProtection="1">
      <alignment vertical="center"/>
      <protection locked="0"/>
    </xf>
    <xf numFmtId="187" fontId="7" fillId="4" borderId="2" xfId="3" applyNumberFormat="1" applyFont="1" applyFill="1" applyBorder="1" applyProtection="1">
      <alignment vertical="center"/>
      <protection locked="0"/>
    </xf>
    <xf numFmtId="187" fontId="7" fillId="4" borderId="2" xfId="3" applyNumberFormat="1" applyFont="1" applyFill="1" applyBorder="1" applyAlignment="1" applyProtection="1">
      <alignment horizontal="right" vertical="center"/>
      <protection locked="0"/>
    </xf>
    <xf numFmtId="40" fontId="7" fillId="4" borderId="2" xfId="3" applyNumberFormat="1" applyFont="1" applyFill="1" applyBorder="1" applyProtection="1">
      <alignment vertical="center"/>
      <protection locked="0"/>
    </xf>
    <xf numFmtId="38" fontId="7" fillId="4" borderId="2" xfId="3" applyFont="1" applyFill="1" applyBorder="1" applyAlignment="1" applyProtection="1">
      <alignment horizontal="right" vertical="center"/>
      <protection locked="0"/>
    </xf>
    <xf numFmtId="0" fontId="4" fillId="6" borderId="0" xfId="2" applyFont="1" applyFill="1">
      <alignment vertical="center"/>
    </xf>
    <xf numFmtId="0" fontId="3" fillId="6" borderId="0" xfId="2" applyFont="1" applyFill="1">
      <alignment vertical="center"/>
    </xf>
    <xf numFmtId="0" fontId="17" fillId="6" borderId="0" xfId="2" applyFont="1" applyFill="1" applyAlignment="1">
      <alignment vertical="top" wrapText="1"/>
    </xf>
    <xf numFmtId="0" fontId="18" fillId="6" borderId="0" xfId="2" applyFont="1" applyFill="1" applyAlignment="1">
      <alignment vertical="top" wrapText="1"/>
    </xf>
    <xf numFmtId="0" fontId="1" fillId="6" borderId="0" xfId="2" applyFill="1">
      <alignment vertical="center"/>
    </xf>
    <xf numFmtId="0" fontId="0" fillId="6" borderId="0" xfId="0" applyFill="1">
      <alignment vertical="center"/>
    </xf>
    <xf numFmtId="38" fontId="0" fillId="6" borderId="46" xfId="0" applyNumberFormat="1" applyFill="1" applyBorder="1">
      <alignment vertical="center"/>
    </xf>
    <xf numFmtId="0" fontId="0" fillId="6" borderId="46" xfId="0" applyFill="1" applyBorder="1">
      <alignment vertical="center"/>
    </xf>
    <xf numFmtId="0" fontId="1" fillId="6" borderId="34" xfId="2" applyFill="1" applyBorder="1" applyAlignment="1">
      <alignment horizontal="center" vertical="center" wrapText="1"/>
    </xf>
    <xf numFmtId="180" fontId="0" fillId="6" borderId="46" xfId="0" applyNumberFormat="1" applyFill="1" applyBorder="1">
      <alignment vertical="center"/>
    </xf>
    <xf numFmtId="0" fontId="17" fillId="0" borderId="0" xfId="2" applyFont="1" applyAlignment="1">
      <alignment vertical="top" wrapText="1"/>
    </xf>
    <xf numFmtId="2" fontId="4" fillId="6" borderId="0" xfId="2" applyNumberFormat="1" applyFont="1" applyFill="1">
      <alignment vertical="center"/>
    </xf>
    <xf numFmtId="0" fontId="4" fillId="6" borderId="0" xfId="2" applyFont="1" applyFill="1" applyAlignment="1">
      <alignment horizontal="right" vertical="center"/>
    </xf>
    <xf numFmtId="0" fontId="28" fillId="0" borderId="0" xfId="0" applyFont="1">
      <alignment vertical="center"/>
    </xf>
    <xf numFmtId="0" fontId="8" fillId="0" borderId="0" xfId="2" applyFont="1" applyAlignment="1">
      <alignment horizontal="center" vertical="center"/>
    </xf>
    <xf numFmtId="2" fontId="11" fillId="3" borderId="3" xfId="2" applyNumberFormat="1" applyFont="1" applyFill="1" applyBorder="1" applyAlignment="1">
      <alignment horizontal="right" vertical="center"/>
    </xf>
    <xf numFmtId="2" fontId="11" fillId="3" borderId="4" xfId="2" applyNumberFormat="1" applyFont="1" applyFill="1" applyBorder="1" applyAlignment="1">
      <alignment horizontal="right" vertical="center"/>
    </xf>
    <xf numFmtId="2" fontId="11" fillId="3" borderId="5" xfId="2" applyNumberFormat="1" applyFont="1" applyFill="1" applyBorder="1" applyAlignment="1">
      <alignment horizontal="right" vertical="center"/>
    </xf>
    <xf numFmtId="2" fontId="12" fillId="3" borderId="3" xfId="2" applyNumberFormat="1" applyFont="1" applyFill="1" applyBorder="1" applyAlignment="1">
      <alignment horizontal="right" vertical="center"/>
    </xf>
    <xf numFmtId="2" fontId="12" fillId="3" borderId="4" xfId="2" applyNumberFormat="1" applyFont="1" applyFill="1" applyBorder="1" applyAlignment="1">
      <alignment horizontal="right" vertical="center"/>
    </xf>
    <xf numFmtId="2" fontId="12" fillId="3" borderId="5" xfId="2" applyNumberFormat="1" applyFont="1" applyFill="1" applyBorder="1" applyAlignment="1">
      <alignment horizontal="right" vertical="center"/>
    </xf>
    <xf numFmtId="0" fontId="16" fillId="0" borderId="0" xfId="2" applyFont="1" applyAlignment="1">
      <alignment horizontal="left" vertical="center" wrapText="1"/>
    </xf>
    <xf numFmtId="0" fontId="4" fillId="4" borderId="6" xfId="2" applyFont="1" applyFill="1" applyBorder="1" applyAlignment="1" applyProtection="1">
      <alignment horizontal="left" vertical="top" wrapText="1"/>
      <protection locked="0"/>
    </xf>
    <xf numFmtId="0" fontId="4" fillId="4" borderId="7" xfId="2" applyFont="1" applyFill="1" applyBorder="1" applyAlignment="1" applyProtection="1">
      <alignment horizontal="left" vertical="top" wrapText="1"/>
      <protection locked="0"/>
    </xf>
    <xf numFmtId="0" fontId="4" fillId="4" borderId="8" xfId="2" applyFont="1" applyFill="1" applyBorder="1" applyAlignment="1" applyProtection="1">
      <alignment horizontal="left" vertical="top" wrapText="1"/>
      <protection locked="0"/>
    </xf>
    <xf numFmtId="0" fontId="4" fillId="4" borderId="9" xfId="2" applyFont="1" applyFill="1" applyBorder="1" applyAlignment="1" applyProtection="1">
      <alignment horizontal="left" vertical="top" wrapText="1"/>
      <protection locked="0"/>
    </xf>
    <xf numFmtId="0" fontId="4" fillId="4" borderId="10" xfId="2" applyFont="1" applyFill="1" applyBorder="1" applyAlignment="1" applyProtection="1">
      <alignment horizontal="left" vertical="top" wrapText="1"/>
      <protection locked="0"/>
    </xf>
    <xf numFmtId="0" fontId="4" fillId="4" borderId="11" xfId="2" applyFont="1" applyFill="1" applyBorder="1" applyAlignment="1" applyProtection="1">
      <alignment horizontal="left" vertical="top" wrapText="1"/>
      <protection locked="0"/>
    </xf>
    <xf numFmtId="179" fontId="4" fillId="3" borderId="19" xfId="2" applyNumberFormat="1" applyFont="1" applyFill="1" applyBorder="1" applyAlignment="1">
      <alignment horizontal="right" vertical="center"/>
    </xf>
    <xf numFmtId="179" fontId="4" fillId="3" borderId="20" xfId="2" applyNumberFormat="1" applyFont="1" applyFill="1" applyBorder="1" applyAlignment="1">
      <alignment horizontal="right" vertical="center"/>
    </xf>
    <xf numFmtId="38" fontId="7" fillId="4" borderId="12" xfId="3" applyFont="1" applyFill="1" applyBorder="1" applyAlignment="1" applyProtection="1">
      <alignment horizontal="left" vertical="center"/>
      <protection locked="0"/>
    </xf>
    <xf numFmtId="38" fontId="7" fillId="4" borderId="13" xfId="3" applyFont="1" applyFill="1" applyBorder="1" applyAlignment="1" applyProtection="1">
      <alignment horizontal="left" vertical="center"/>
      <protection locked="0"/>
    </xf>
    <xf numFmtId="38" fontId="7" fillId="4" borderId="14" xfId="3" applyFont="1" applyFill="1" applyBorder="1" applyAlignment="1" applyProtection="1">
      <alignment horizontal="left" vertical="center"/>
      <protection locked="0"/>
    </xf>
    <xf numFmtId="2" fontId="12" fillId="3" borderId="15" xfId="2" applyNumberFormat="1" applyFont="1" applyFill="1" applyBorder="1" applyAlignment="1">
      <alignment horizontal="right" vertical="center"/>
    </xf>
    <xf numFmtId="2" fontId="12" fillId="3" borderId="16" xfId="2" applyNumberFormat="1" applyFont="1" applyFill="1" applyBorder="1" applyAlignment="1">
      <alignment horizontal="right" vertical="center"/>
    </xf>
    <xf numFmtId="2" fontId="12" fillId="4" borderId="12" xfId="2" applyNumberFormat="1" applyFont="1" applyFill="1" applyBorder="1" applyAlignment="1" applyProtection="1">
      <alignment horizontal="right" vertical="center"/>
      <protection locked="0"/>
    </xf>
    <xf numFmtId="2" fontId="12" fillId="4" borderId="14" xfId="2" applyNumberFormat="1" applyFont="1" applyFill="1" applyBorder="1" applyAlignment="1" applyProtection="1">
      <alignment horizontal="right" vertical="center"/>
      <protection locked="0"/>
    </xf>
    <xf numFmtId="38" fontId="7" fillId="4" borderId="12" xfId="3" applyFont="1" applyFill="1" applyBorder="1" applyAlignment="1" applyProtection="1">
      <alignment horizontal="left" vertical="top"/>
      <protection locked="0"/>
    </xf>
    <xf numFmtId="38" fontId="7" fillId="4" borderId="13" xfId="3" applyFont="1" applyFill="1" applyBorder="1" applyAlignment="1" applyProtection="1">
      <alignment horizontal="left" vertical="top"/>
      <protection locked="0"/>
    </xf>
    <xf numFmtId="38" fontId="7" fillId="4" borderId="14" xfId="3" applyFont="1" applyFill="1" applyBorder="1" applyAlignment="1" applyProtection="1">
      <alignment horizontal="left" vertical="top"/>
      <protection locked="0"/>
    </xf>
    <xf numFmtId="0" fontId="23" fillId="0" borderId="10" xfId="2" applyFont="1" applyBorder="1" applyAlignment="1">
      <alignment horizontal="left" vertical="center" wrapText="1"/>
    </xf>
    <xf numFmtId="0" fontId="29" fillId="4" borderId="12" xfId="2" applyFont="1" applyFill="1" applyBorder="1" applyAlignment="1" applyProtection="1">
      <alignment horizontal="left" vertical="top" wrapText="1"/>
      <protection locked="0"/>
    </xf>
    <xf numFmtId="0" fontId="29" fillId="4" borderId="13" xfId="2" applyFont="1" applyFill="1" applyBorder="1" applyAlignment="1" applyProtection="1">
      <alignment horizontal="left" vertical="top" wrapText="1"/>
      <protection locked="0"/>
    </xf>
    <xf numFmtId="0" fontId="29" fillId="4" borderId="14" xfId="2" applyFont="1" applyFill="1" applyBorder="1" applyAlignment="1" applyProtection="1">
      <alignment horizontal="left" vertical="top" wrapText="1"/>
      <protection locked="0"/>
    </xf>
    <xf numFmtId="38" fontId="7" fillId="4" borderId="12" xfId="3" applyFont="1" applyFill="1" applyBorder="1" applyAlignment="1" applyProtection="1">
      <alignment horizontal="left" vertical="top" wrapText="1"/>
      <protection locked="0"/>
    </xf>
    <xf numFmtId="38" fontId="7" fillId="4" borderId="13" xfId="3" applyFont="1" applyFill="1" applyBorder="1" applyAlignment="1" applyProtection="1">
      <alignment horizontal="left" vertical="top" wrapText="1"/>
      <protection locked="0"/>
    </xf>
    <xf numFmtId="38" fontId="7" fillId="4" borderId="14" xfId="3" applyFont="1" applyFill="1" applyBorder="1" applyAlignment="1" applyProtection="1">
      <alignment horizontal="left" vertical="top" wrapText="1"/>
      <protection locked="0"/>
    </xf>
    <xf numFmtId="177" fontId="4" fillId="3" borderId="19" xfId="2" applyNumberFormat="1" applyFont="1" applyFill="1" applyBorder="1" applyAlignment="1">
      <alignment horizontal="right" vertical="center"/>
    </xf>
    <xf numFmtId="177" fontId="4" fillId="3" borderId="20" xfId="2" applyNumberFormat="1" applyFont="1" applyFill="1" applyBorder="1" applyAlignment="1">
      <alignment horizontal="right" vertical="center"/>
    </xf>
    <xf numFmtId="40" fontId="7" fillId="3" borderId="15" xfId="3" applyNumberFormat="1" applyFont="1" applyFill="1" applyBorder="1" applyAlignment="1">
      <alignment horizontal="right" vertical="center"/>
    </xf>
    <xf numFmtId="40" fontId="7" fillId="3" borderId="16" xfId="3" applyNumberFormat="1" applyFont="1" applyFill="1" applyBorder="1" applyAlignment="1">
      <alignment horizontal="right" vertical="center"/>
    </xf>
    <xf numFmtId="0" fontId="27" fillId="0" borderId="0" xfId="2" applyFont="1" applyAlignment="1">
      <alignment horizontal="left" vertical="center" wrapText="1"/>
    </xf>
    <xf numFmtId="0" fontId="23" fillId="4" borderId="12" xfId="2" applyFont="1" applyFill="1" applyBorder="1" applyAlignment="1" applyProtection="1">
      <alignment horizontal="left" vertical="top" wrapText="1"/>
      <protection locked="0"/>
    </xf>
    <xf numFmtId="0" fontId="23" fillId="4" borderId="13" xfId="2" applyFont="1" applyFill="1" applyBorder="1" applyAlignment="1" applyProtection="1">
      <alignment horizontal="left" vertical="top" wrapText="1"/>
      <protection locked="0"/>
    </xf>
    <xf numFmtId="0" fontId="23" fillId="4" borderId="14" xfId="2" applyFont="1" applyFill="1" applyBorder="1" applyAlignment="1" applyProtection="1">
      <alignment horizontal="left" vertical="top" wrapText="1"/>
      <protection locked="0"/>
    </xf>
    <xf numFmtId="0" fontId="28" fillId="0" borderId="0" xfId="2" applyFont="1" applyAlignment="1">
      <alignment horizontal="left" vertical="center" wrapText="1"/>
    </xf>
    <xf numFmtId="0" fontId="28" fillId="0" borderId="21" xfId="2" applyFont="1" applyBorder="1" applyAlignment="1">
      <alignment horizontal="left" vertical="center" wrapText="1"/>
    </xf>
    <xf numFmtId="38" fontId="0" fillId="4" borderId="12" xfId="3" applyFont="1" applyFill="1" applyBorder="1" applyAlignment="1" applyProtection="1">
      <alignment horizontal="left" vertical="top" wrapText="1"/>
      <protection locked="0"/>
    </xf>
    <xf numFmtId="38" fontId="0" fillId="4" borderId="13" xfId="3" applyFont="1" applyFill="1" applyBorder="1" applyAlignment="1" applyProtection="1">
      <alignment horizontal="left" vertical="top" wrapText="1"/>
      <protection locked="0"/>
    </xf>
    <xf numFmtId="38" fontId="0" fillId="4" borderId="14" xfId="3" applyFont="1" applyFill="1" applyBorder="1" applyAlignment="1" applyProtection="1">
      <alignment horizontal="left" vertical="top" wrapText="1"/>
      <protection locked="0"/>
    </xf>
    <xf numFmtId="0" fontId="1" fillId="0" borderId="22" xfId="2" applyBorder="1" applyAlignment="1">
      <alignment horizontal="center" vertical="center" wrapText="1"/>
    </xf>
    <xf numFmtId="0" fontId="1" fillId="0" borderId="27" xfId="2" applyBorder="1" applyAlignment="1">
      <alignment horizontal="center" vertical="center" wrapText="1"/>
    </xf>
    <xf numFmtId="0" fontId="1" fillId="0" borderId="24" xfId="2" applyBorder="1" applyAlignment="1">
      <alignment horizontal="center" vertical="center" wrapText="1"/>
    </xf>
    <xf numFmtId="0" fontId="1" fillId="0" borderId="23" xfId="2" applyBorder="1" applyAlignment="1">
      <alignment horizontal="center" vertical="center" wrapText="1"/>
    </xf>
    <xf numFmtId="0" fontId="1" fillId="0" borderId="31" xfId="2" applyBorder="1" applyAlignment="1">
      <alignment horizontal="center" vertical="center" wrapText="1"/>
    </xf>
    <xf numFmtId="0" fontId="1" fillId="0" borderId="25" xfId="2" applyBorder="1" applyAlignment="1">
      <alignment horizontal="center" vertical="center" wrapText="1"/>
    </xf>
    <xf numFmtId="0" fontId="1" fillId="0" borderId="32" xfId="2" applyBorder="1" applyAlignment="1">
      <alignment horizontal="center" vertical="center" wrapText="1"/>
    </xf>
    <xf numFmtId="0" fontId="4" fillId="0" borderId="26" xfId="2" applyFont="1" applyBorder="1" applyAlignment="1">
      <alignment horizontal="center" vertical="center"/>
    </xf>
    <xf numFmtId="0" fontId="4" fillId="0" borderId="33" xfId="2" applyFont="1" applyBorder="1" applyAlignment="1">
      <alignment horizontal="center" vertical="center"/>
    </xf>
    <xf numFmtId="178" fontId="7" fillId="3" borderId="15" xfId="3" applyNumberFormat="1" applyFont="1" applyFill="1" applyBorder="1" applyAlignment="1">
      <alignment horizontal="right" vertical="center"/>
    </xf>
    <xf numFmtId="178" fontId="7" fillId="3" borderId="16" xfId="3" applyNumberFormat="1" applyFont="1" applyFill="1" applyBorder="1" applyAlignment="1">
      <alignment horizontal="right" vertical="center"/>
    </xf>
    <xf numFmtId="0" fontId="29" fillId="4" borderId="6" xfId="2" applyFont="1" applyFill="1" applyBorder="1" applyAlignment="1" applyProtection="1">
      <alignment horizontal="left" vertical="top" wrapText="1"/>
      <protection locked="0"/>
    </xf>
    <xf numFmtId="0" fontId="29" fillId="4" borderId="7" xfId="2" applyFont="1" applyFill="1" applyBorder="1" applyAlignment="1" applyProtection="1">
      <alignment horizontal="left" vertical="top" wrapText="1"/>
      <protection locked="0"/>
    </xf>
    <xf numFmtId="0" fontId="29" fillId="4" borderId="8" xfId="2" applyFont="1" applyFill="1" applyBorder="1" applyAlignment="1" applyProtection="1">
      <alignment horizontal="left" vertical="top" wrapText="1"/>
      <protection locked="0"/>
    </xf>
    <xf numFmtId="0" fontId="29" fillId="4" borderId="9" xfId="2" applyFont="1" applyFill="1" applyBorder="1" applyAlignment="1" applyProtection="1">
      <alignment horizontal="left" vertical="top" wrapText="1"/>
      <protection locked="0"/>
    </xf>
    <xf numFmtId="0" fontId="29" fillId="4" borderId="10" xfId="2" applyFont="1" applyFill="1" applyBorder="1" applyAlignment="1" applyProtection="1">
      <alignment horizontal="left" vertical="top" wrapText="1"/>
      <protection locked="0"/>
    </xf>
    <xf numFmtId="0" fontId="29" fillId="4" borderId="11" xfId="2" applyFont="1" applyFill="1" applyBorder="1" applyAlignment="1" applyProtection="1">
      <alignment horizontal="left" vertical="top" wrapText="1"/>
      <protection locked="0"/>
    </xf>
    <xf numFmtId="184" fontId="7" fillId="3" borderId="15" xfId="3" applyNumberFormat="1" applyFont="1" applyFill="1" applyBorder="1" applyAlignment="1">
      <alignment horizontal="right" vertical="center"/>
    </xf>
    <xf numFmtId="184" fontId="7" fillId="3" borderId="16" xfId="3" applyNumberFormat="1" applyFont="1" applyFill="1" applyBorder="1" applyAlignment="1">
      <alignment horizontal="right" vertical="center"/>
    </xf>
    <xf numFmtId="0" fontId="7" fillId="4" borderId="6" xfId="2" applyFont="1" applyFill="1" applyBorder="1" applyAlignment="1" applyProtection="1">
      <alignment horizontal="left" vertical="top" wrapText="1"/>
      <protection locked="0"/>
    </xf>
    <xf numFmtId="0" fontId="7" fillId="4" borderId="7" xfId="2" applyFont="1" applyFill="1" applyBorder="1" applyAlignment="1" applyProtection="1">
      <alignment horizontal="left" vertical="top" wrapText="1"/>
      <protection locked="0"/>
    </xf>
    <xf numFmtId="0" fontId="7" fillId="4" borderId="8" xfId="2" applyFont="1" applyFill="1" applyBorder="1" applyAlignment="1" applyProtection="1">
      <alignment horizontal="left" vertical="top" wrapText="1"/>
      <protection locked="0"/>
    </xf>
    <xf numFmtId="0" fontId="7" fillId="4" borderId="9" xfId="2" applyFont="1" applyFill="1" applyBorder="1" applyAlignment="1" applyProtection="1">
      <alignment horizontal="left" vertical="top" wrapText="1"/>
      <protection locked="0"/>
    </xf>
    <xf numFmtId="0" fontId="7" fillId="4" borderId="10" xfId="2" applyFont="1" applyFill="1" applyBorder="1" applyAlignment="1" applyProtection="1">
      <alignment horizontal="left" vertical="top" wrapText="1"/>
      <protection locked="0"/>
    </xf>
    <xf numFmtId="0" fontId="7" fillId="4" borderId="11" xfId="2" applyFont="1" applyFill="1" applyBorder="1" applyAlignment="1" applyProtection="1">
      <alignment horizontal="left" vertical="top" wrapText="1"/>
      <protection locked="0"/>
    </xf>
    <xf numFmtId="185" fontId="4" fillId="3" borderId="19" xfId="2" applyNumberFormat="1" applyFont="1" applyFill="1" applyBorder="1" applyAlignment="1">
      <alignment horizontal="right" vertical="center"/>
    </xf>
    <xf numFmtId="185" fontId="4" fillId="3" borderId="20" xfId="2" applyNumberFormat="1" applyFont="1" applyFill="1" applyBorder="1" applyAlignment="1">
      <alignment horizontal="right" vertical="center"/>
    </xf>
    <xf numFmtId="0" fontId="7" fillId="4" borderId="12" xfId="2" applyFont="1" applyFill="1" applyBorder="1" applyAlignment="1" applyProtection="1">
      <alignment horizontal="left" vertical="top" wrapText="1"/>
      <protection locked="0"/>
    </xf>
    <xf numFmtId="0" fontId="7" fillId="4" borderId="13" xfId="2" applyFont="1" applyFill="1" applyBorder="1" applyAlignment="1" applyProtection="1">
      <alignment horizontal="left" vertical="top" wrapText="1"/>
      <protection locked="0"/>
    </xf>
    <xf numFmtId="0" fontId="7" fillId="4" borderId="14" xfId="2" applyFont="1" applyFill="1" applyBorder="1" applyAlignment="1" applyProtection="1">
      <alignment horizontal="left" vertical="top" wrapText="1"/>
      <protection locked="0"/>
    </xf>
    <xf numFmtId="186" fontId="7" fillId="3" borderId="15" xfId="3" applyNumberFormat="1" applyFont="1" applyFill="1" applyBorder="1" applyAlignment="1">
      <alignment horizontal="right" vertical="center"/>
    </xf>
    <xf numFmtId="186" fontId="7" fillId="3" borderId="16" xfId="3" applyNumberFormat="1" applyFont="1" applyFill="1" applyBorder="1" applyAlignment="1">
      <alignment horizontal="right" vertical="center"/>
    </xf>
    <xf numFmtId="181" fontId="12" fillId="4" borderId="12" xfId="2" applyNumberFormat="1" applyFont="1" applyFill="1" applyBorder="1" applyAlignment="1" applyProtection="1">
      <alignment horizontal="right" vertical="center"/>
      <protection locked="0"/>
    </xf>
    <xf numFmtId="181" fontId="12" fillId="4" borderId="14" xfId="2" applyNumberFormat="1" applyFont="1" applyFill="1" applyBorder="1" applyAlignment="1" applyProtection="1">
      <alignment horizontal="right" vertical="center"/>
      <protection locked="0"/>
    </xf>
    <xf numFmtId="0" fontId="16" fillId="4" borderId="12" xfId="2" applyFont="1" applyFill="1" applyBorder="1" applyAlignment="1" applyProtection="1">
      <alignment horizontal="left" vertical="top" wrapText="1"/>
      <protection locked="0"/>
    </xf>
    <xf numFmtId="0" fontId="16" fillId="4" borderId="13" xfId="2" applyFont="1" applyFill="1" applyBorder="1" applyAlignment="1" applyProtection="1">
      <alignment horizontal="left" vertical="top" wrapText="1"/>
      <protection locked="0"/>
    </xf>
    <xf numFmtId="0" fontId="16" fillId="4" borderId="14" xfId="2" applyFont="1" applyFill="1" applyBorder="1" applyAlignment="1" applyProtection="1">
      <alignment horizontal="left" vertical="top" wrapText="1"/>
      <protection locked="0"/>
    </xf>
    <xf numFmtId="0" fontId="34" fillId="4" borderId="6" xfId="2" applyFont="1" applyFill="1" applyBorder="1" applyAlignment="1" applyProtection="1">
      <alignment horizontal="left" vertical="top" wrapText="1"/>
      <protection locked="0"/>
    </xf>
    <xf numFmtId="0" fontId="34" fillId="4" borderId="7" xfId="2" applyFont="1" applyFill="1" applyBorder="1" applyAlignment="1" applyProtection="1">
      <alignment horizontal="left" vertical="top" wrapText="1"/>
      <protection locked="0"/>
    </xf>
    <xf numFmtId="0" fontId="34" fillId="4" borderId="8" xfId="2" applyFont="1" applyFill="1" applyBorder="1" applyAlignment="1" applyProtection="1">
      <alignment horizontal="left" vertical="top" wrapText="1"/>
      <protection locked="0"/>
    </xf>
    <xf numFmtId="0" fontId="34" fillId="4" borderId="9" xfId="2" applyFont="1" applyFill="1" applyBorder="1" applyAlignment="1" applyProtection="1">
      <alignment horizontal="left" vertical="top" wrapText="1"/>
      <protection locked="0"/>
    </xf>
    <xf numFmtId="0" fontId="34" fillId="4" borderId="10" xfId="2" applyFont="1" applyFill="1" applyBorder="1" applyAlignment="1" applyProtection="1">
      <alignment horizontal="left" vertical="top" wrapText="1"/>
      <protection locked="0"/>
    </xf>
    <xf numFmtId="0" fontId="34" fillId="4" borderId="11" xfId="2" applyFont="1" applyFill="1" applyBorder="1" applyAlignment="1" applyProtection="1">
      <alignment horizontal="left" vertical="top" wrapText="1"/>
      <protection locked="0"/>
    </xf>
    <xf numFmtId="187" fontId="7" fillId="3" borderId="15" xfId="3" applyNumberFormat="1" applyFont="1" applyFill="1" applyBorder="1" applyAlignment="1">
      <alignment horizontal="right" vertical="center"/>
    </xf>
    <xf numFmtId="187" fontId="7" fillId="3" borderId="16" xfId="3" applyNumberFormat="1" applyFont="1" applyFill="1" applyBorder="1" applyAlignment="1">
      <alignment horizontal="right" vertical="center"/>
    </xf>
    <xf numFmtId="188" fontId="7" fillId="3" borderId="15" xfId="3" applyNumberFormat="1" applyFont="1" applyFill="1" applyBorder="1" applyAlignment="1">
      <alignment horizontal="right" vertical="center"/>
    </xf>
    <xf numFmtId="188" fontId="7" fillId="3" borderId="16" xfId="3" applyNumberFormat="1" applyFont="1" applyFill="1" applyBorder="1" applyAlignment="1">
      <alignment horizontal="right" vertical="center"/>
    </xf>
  </cellXfs>
  <cellStyles count="6">
    <cellStyle name="パーセント" xfId="1" builtinId="5"/>
    <cellStyle name="パーセント 3" xfId="5" xr:uid="{11A18459-8F74-44EC-B225-5D0C249F7296}"/>
    <cellStyle name="ハイパーリンク 3" xfId="4" xr:uid="{2069D58C-8A01-426E-84AD-48E64F8261DE}"/>
    <cellStyle name="桁区切り 3" xfId="3" xr:uid="{9AA5AB0A-A782-47C1-B347-855F8F5ADF9D}"/>
    <cellStyle name="標準" xfId="0" builtinId="0"/>
    <cellStyle name="標準 4" xfId="2" xr:uid="{D0F51CBA-30C4-48BE-836E-39A95E117B8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5.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6.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7.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8.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ja-JP" sz="1050" b="1" i="0" baseline="0">
                <a:effectLst/>
                <a:latin typeface="ＭＳ Ｐゴシック" panose="020B0600070205080204" pitchFamily="50" charset="-128"/>
                <a:ea typeface="ＭＳ Ｐゴシック" panose="020B0600070205080204" pitchFamily="50" charset="-128"/>
              </a:rPr>
              <a:t>省エネ効果量積算値</a:t>
            </a:r>
            <a:r>
              <a:rPr lang="en-US" altLang="ja-JP" sz="1050" b="1" i="0" baseline="0">
                <a:effectLst/>
                <a:latin typeface="ＭＳ Ｐゴシック" panose="020B0600070205080204" pitchFamily="50" charset="-128"/>
                <a:ea typeface="ＭＳ Ｐゴシック" panose="020B0600070205080204" pitchFamily="50" charset="-128"/>
              </a:rPr>
              <a:t>(</a:t>
            </a:r>
            <a:r>
              <a:rPr lang="ja-JP" altLang="en-US" sz="1050" b="1" i="0" baseline="0">
                <a:effectLst/>
                <a:latin typeface="ＭＳ Ｐゴシック" panose="020B0600070205080204" pitchFamily="50" charset="-128"/>
                <a:ea typeface="ＭＳ Ｐゴシック" panose="020B0600070205080204" pitchFamily="50" charset="-128"/>
              </a:rPr>
              <a:t>国内</a:t>
            </a:r>
            <a:r>
              <a:rPr lang="en-US" altLang="ja-JP" sz="1050" b="1" i="0" baseline="0">
                <a:effectLst/>
                <a:latin typeface="ＭＳ Ｐゴシック" panose="020B0600070205080204" pitchFamily="50" charset="-128"/>
                <a:ea typeface="ＭＳ Ｐゴシック" panose="020B0600070205080204" pitchFamily="50" charset="-128"/>
              </a:rPr>
              <a:t>)</a:t>
            </a:r>
            <a:endParaRPr lang="ja-JP" altLang="ja-JP" sz="1050" b="1">
              <a:effectLst/>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ltLang="ja-JP"/>
        </a:p>
      </c:txPr>
    </c:title>
    <c:autoTitleDeleted val="0"/>
    <c:plotArea>
      <c:layout>
        <c:manualLayout>
          <c:layoutTarget val="inner"/>
          <c:xMode val="edge"/>
          <c:yMode val="edge"/>
          <c:x val="6.0056058162499683E-2"/>
          <c:y val="0.1055370099432396"/>
          <c:w val="0.9084287903223488"/>
          <c:h val="0.68087333868916966"/>
        </c:manualLayout>
      </c:layout>
      <c:scatterChart>
        <c:scatterStyle val="lineMarker"/>
        <c:varyColors val="0"/>
        <c:ser>
          <c:idx val="0"/>
          <c:order val="0"/>
          <c:tx>
            <c:strRef>
              <c:f>例①!$P$23</c:f>
              <c:strCache>
                <c:ptCount val="1"/>
                <c:pt idx="0">
                  <c:v>高機能接合剤の開発による電子部品熱処理工程の省エネルギー</c:v>
                </c:pt>
              </c:strCache>
            </c:strRef>
          </c:tx>
          <c:spPr>
            <a:ln w="19050" cap="rnd">
              <a:solidFill>
                <a:schemeClr val="accent1"/>
              </a:solidFill>
              <a:round/>
            </a:ln>
            <a:effectLst/>
          </c:spPr>
          <c:marker>
            <c:symbol val="square"/>
            <c:size val="8"/>
            <c:spPr>
              <a:solidFill>
                <a:srgbClr val="0000FF"/>
              </a:solidFill>
              <a:ln w="9525">
                <a:noFill/>
              </a:ln>
              <a:effectLst/>
            </c:spPr>
          </c:marker>
          <c:xVal>
            <c:numRef>
              <c:f>例①!$O$24:$O$40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例①!$P$24:$P$40</c:f>
              <c:numCache>
                <c:formatCode>0.000</c:formatCode>
                <c:ptCount val="17"/>
                <c:pt idx="0">
                  <c:v>0</c:v>
                </c:pt>
                <c:pt idx="1">
                  <c:v>0</c:v>
                </c:pt>
                <c:pt idx="2">
                  <c:v>0</c:v>
                </c:pt>
                <c:pt idx="3">
                  <c:v>0</c:v>
                </c:pt>
                <c:pt idx="4">
                  <c:v>0.15407677440000006</c:v>
                </c:pt>
                <c:pt idx="5">
                  <c:v>0.30815354880000012</c:v>
                </c:pt>
                <c:pt idx="6">
                  <c:v>0.46223032320000018</c:v>
                </c:pt>
                <c:pt idx="7">
                  <c:v>0.77038387200000036</c:v>
                </c:pt>
                <c:pt idx="8">
                  <c:v>1.0785374208000005</c:v>
                </c:pt>
                <c:pt idx="9">
                  <c:v>1.5407677440000007</c:v>
                </c:pt>
                <c:pt idx="10">
                  <c:v>2.157074841600001</c:v>
                </c:pt>
                <c:pt idx="11">
                  <c:v>3.0815354880000014</c:v>
                </c:pt>
                <c:pt idx="12">
                  <c:v>4.3141496832000019</c:v>
                </c:pt>
                <c:pt idx="13">
                  <c:v>5.8549174272000029</c:v>
                </c:pt>
                <c:pt idx="14">
                  <c:v>7.7038387200000029</c:v>
                </c:pt>
                <c:pt idx="15">
                  <c:v>9.8609135616000039</c:v>
                </c:pt>
                <c:pt idx="16">
                  <c:v>12.326141952000006</c:v>
                </c:pt>
              </c:numCache>
            </c:numRef>
          </c:yVal>
          <c:smooth val="0"/>
          <c:extLst>
            <c:ext xmlns:c16="http://schemas.microsoft.com/office/drawing/2014/chart" uri="{C3380CC4-5D6E-409C-BE32-E72D297353CC}">
              <c16:uniqueId val="{00000000-80D2-4F87-9845-DFACA2DFF4BE}"/>
            </c:ext>
          </c:extLst>
        </c:ser>
        <c:ser>
          <c:idx val="1"/>
          <c:order val="1"/>
          <c:tx>
            <c:strRef>
              <c:f>例①!$Q$23</c:f>
              <c:strCache>
                <c:ptCount val="1"/>
                <c:pt idx="0">
                  <c:v>#REF!</c:v>
                </c:pt>
              </c:strCache>
            </c:strRef>
          </c:tx>
          <c:spPr>
            <a:ln w="19050" cap="rnd">
              <a:solidFill>
                <a:schemeClr val="accent2"/>
              </a:solidFill>
              <a:round/>
            </a:ln>
            <a:effectLst/>
          </c:spPr>
          <c:marker>
            <c:symbol val="triangle"/>
            <c:size val="8"/>
            <c:spPr>
              <a:solidFill>
                <a:srgbClr val="00B050"/>
              </a:solidFill>
              <a:ln w="9525">
                <a:noFill/>
              </a:ln>
              <a:effectLst/>
            </c:spPr>
          </c:marker>
          <c:xVal>
            <c:numRef>
              <c:f>例①!$O$24:$O$40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例①!$Q$24:$Q$40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80D2-4F87-9845-DFACA2DFF4BE}"/>
            </c:ext>
          </c:extLst>
        </c:ser>
        <c:ser>
          <c:idx val="2"/>
          <c:order val="2"/>
          <c:tx>
            <c:strRef>
              <c:f>例①!$R$23</c:f>
              <c:strCache>
                <c:ptCount val="1"/>
                <c:pt idx="0">
                  <c:v>#REF!</c:v>
                </c:pt>
              </c:strCache>
            </c:strRef>
          </c:tx>
          <c:spPr>
            <a:ln w="19050" cap="rnd">
              <a:solidFill>
                <a:schemeClr val="accent3"/>
              </a:solidFill>
              <a:round/>
            </a:ln>
            <a:effectLst/>
          </c:spPr>
          <c:marker>
            <c:symbol val="diamond"/>
            <c:size val="8"/>
            <c:spPr>
              <a:solidFill>
                <a:srgbClr val="00B0F0"/>
              </a:solidFill>
              <a:ln w="9525">
                <a:noFill/>
              </a:ln>
              <a:effectLst/>
            </c:spPr>
          </c:marker>
          <c:xVal>
            <c:numRef>
              <c:f>例①!$O$24:$O$40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例①!$R$24:$R$40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2-80D2-4F87-9845-DFACA2DFF4BE}"/>
            </c:ext>
          </c:extLst>
        </c:ser>
        <c:ser>
          <c:idx val="3"/>
          <c:order val="3"/>
          <c:tx>
            <c:strRef>
              <c:f>例①!$S$23</c:f>
              <c:strCache>
                <c:ptCount val="1"/>
                <c:pt idx="0">
                  <c:v>#REF!</c:v>
                </c:pt>
              </c:strCache>
            </c:strRef>
          </c:tx>
          <c:spPr>
            <a:ln w="19050" cap="rnd">
              <a:solidFill>
                <a:schemeClr val="accent4"/>
              </a:solidFill>
              <a:round/>
            </a:ln>
            <a:effectLst/>
          </c:spPr>
          <c:marker>
            <c:symbol val="circle"/>
            <c:size val="8"/>
            <c:spPr>
              <a:solidFill>
                <a:srgbClr val="FFC000"/>
              </a:solidFill>
              <a:ln w="9525">
                <a:noFill/>
              </a:ln>
              <a:effectLst/>
            </c:spPr>
          </c:marker>
          <c:xVal>
            <c:numRef>
              <c:f>例①!$O$24:$O$40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例①!$S$24:$S$40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3-80D2-4F87-9845-DFACA2DFF4BE}"/>
            </c:ext>
          </c:extLst>
        </c:ser>
        <c:ser>
          <c:idx val="4"/>
          <c:order val="4"/>
          <c:tx>
            <c:strRef>
              <c:f>例①!$T$23</c:f>
              <c:strCache>
                <c:ptCount val="1"/>
                <c:pt idx="0">
                  <c:v>合計</c:v>
                </c:pt>
              </c:strCache>
            </c:strRef>
          </c:tx>
          <c:spPr>
            <a:ln w="19050" cap="rnd">
              <a:solidFill>
                <a:srgbClr val="C00000"/>
              </a:solidFill>
              <a:round/>
            </a:ln>
            <a:effectLst/>
          </c:spPr>
          <c:marker>
            <c:symbol val="circle"/>
            <c:size val="8"/>
            <c:spPr>
              <a:solidFill>
                <a:schemeClr val="bg1"/>
              </a:solidFill>
              <a:ln w="15875">
                <a:solidFill>
                  <a:srgbClr val="C00000"/>
                </a:solidFill>
              </a:ln>
              <a:effectLst/>
            </c:spPr>
          </c:marker>
          <c:xVal>
            <c:numRef>
              <c:f>例①!$O$24:$O$40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例①!$T$24:$T$40</c:f>
              <c:numCache>
                <c:formatCode>General</c:formatCode>
                <c:ptCount val="17"/>
                <c:pt idx="0" formatCode="0.00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4-80D2-4F87-9845-DFACA2DFF4BE}"/>
            </c:ext>
          </c:extLst>
        </c:ser>
        <c:dLbls>
          <c:showLegendKey val="0"/>
          <c:showVal val="0"/>
          <c:showCatName val="0"/>
          <c:showSerName val="0"/>
          <c:showPercent val="0"/>
          <c:showBubbleSize val="0"/>
        </c:dLbls>
        <c:axId val="1124111216"/>
        <c:axId val="1124112048"/>
      </c:scatterChart>
      <c:valAx>
        <c:axId val="1124111216"/>
        <c:scaling>
          <c:orientation val="minMax"/>
          <c:max val="2040"/>
          <c:min val="20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年度</a:t>
                </a:r>
              </a:p>
            </c:rich>
          </c:tx>
          <c:layout>
            <c:manualLayout>
              <c:xMode val="edge"/>
              <c:yMode val="edge"/>
              <c:x val="0.95384694109293278"/>
              <c:y val="0.8423620599794340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2048"/>
        <c:crosses val="autoZero"/>
        <c:crossBetween val="midCat"/>
        <c:majorUnit val="1"/>
      </c:valAx>
      <c:valAx>
        <c:axId val="112411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（万</a:t>
                </a:r>
                <a:r>
                  <a:rPr lang="en-US" altLang="ja-JP" sz="1050" b="1">
                    <a:latin typeface="ＭＳ Ｐゴシック" panose="020B0600070205080204" pitchFamily="50" charset="-128"/>
                    <a:ea typeface="ＭＳ Ｐゴシック" panose="020B0600070205080204" pitchFamily="50" charset="-128"/>
                  </a:rPr>
                  <a:t>kL/</a:t>
                </a:r>
                <a:r>
                  <a:rPr lang="ja-JP" altLang="en-US" sz="1050" b="1">
                    <a:latin typeface="ＭＳ Ｐゴシック" panose="020B0600070205080204" pitchFamily="50" charset="-128"/>
                    <a:ea typeface="ＭＳ Ｐゴシック" panose="020B0600070205080204" pitchFamily="50" charset="-128"/>
                  </a:rPr>
                  <a:t>年）</a:t>
                </a:r>
              </a:p>
            </c:rich>
          </c:tx>
          <c:layout>
            <c:manualLayout>
              <c:xMode val="edge"/>
              <c:yMode val="edge"/>
              <c:x val="1.4603870025556773E-2"/>
              <c:y val="2.5140730867293033E-2"/>
            </c:manualLayout>
          </c:layout>
          <c:overlay val="0"/>
          <c:spPr>
            <a:noFill/>
            <a:ln>
              <a:noFill/>
            </a:ln>
            <a:effectLst/>
          </c:spPr>
          <c:txPr>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1216"/>
        <c:crosses val="autoZero"/>
        <c:crossBetween val="midCat"/>
      </c:valAx>
      <c:spPr>
        <a:noFill/>
        <a:ln>
          <a:solidFill>
            <a:schemeClr val="tx1"/>
          </a:solidFill>
        </a:ln>
        <a:effectLst/>
      </c:spPr>
    </c:plotArea>
    <c:legend>
      <c:legendPos val="b"/>
      <c:layout>
        <c:manualLayout>
          <c:xMode val="edge"/>
          <c:yMode val="edge"/>
          <c:x val="5.7555116672847448E-2"/>
          <c:y val="0.864724049527405"/>
          <c:w val="0.88488965166320255"/>
          <c:h val="0.1240949556986096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ja-JP" sz="1050" b="1" i="0" baseline="0">
                <a:effectLst/>
                <a:latin typeface="ＭＳ Ｐゴシック" panose="020B0600070205080204" pitchFamily="50" charset="-128"/>
                <a:ea typeface="ＭＳ Ｐゴシック" panose="020B0600070205080204" pitchFamily="50" charset="-128"/>
              </a:rPr>
              <a:t>省エネ効果量積算値</a:t>
            </a:r>
            <a:r>
              <a:rPr lang="en-US" altLang="ja-JP" sz="1050" b="1" i="0" baseline="0">
                <a:effectLst/>
                <a:latin typeface="ＭＳ Ｐゴシック" panose="020B0600070205080204" pitchFamily="50" charset="-128"/>
                <a:ea typeface="ＭＳ Ｐゴシック" panose="020B0600070205080204" pitchFamily="50" charset="-128"/>
              </a:rPr>
              <a:t>(</a:t>
            </a:r>
            <a:r>
              <a:rPr lang="ja-JP" altLang="en-US" sz="1050" b="1" i="0" baseline="0">
                <a:effectLst/>
                <a:latin typeface="ＭＳ Ｐゴシック" panose="020B0600070205080204" pitchFamily="50" charset="-128"/>
                <a:ea typeface="ＭＳ Ｐゴシック" panose="020B0600070205080204" pitchFamily="50" charset="-128"/>
              </a:rPr>
              <a:t>国内</a:t>
            </a:r>
            <a:r>
              <a:rPr lang="en-US" altLang="ja-JP" sz="1050" b="1" i="0" baseline="0">
                <a:effectLst/>
                <a:latin typeface="ＭＳ Ｐゴシック" panose="020B0600070205080204" pitchFamily="50" charset="-128"/>
                <a:ea typeface="ＭＳ Ｐゴシック" panose="020B0600070205080204" pitchFamily="50" charset="-128"/>
              </a:rPr>
              <a:t>)</a:t>
            </a:r>
            <a:endParaRPr lang="ja-JP" altLang="ja-JP" sz="1050" b="1">
              <a:effectLst/>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ltLang="ja-JP"/>
        </a:p>
      </c:txPr>
    </c:title>
    <c:autoTitleDeleted val="0"/>
    <c:plotArea>
      <c:layout>
        <c:manualLayout>
          <c:layoutTarget val="inner"/>
          <c:xMode val="edge"/>
          <c:yMode val="edge"/>
          <c:x val="6.0056058162499683E-2"/>
          <c:y val="0.1055370099432396"/>
          <c:w val="0.9084287903223488"/>
          <c:h val="0.68087333868916966"/>
        </c:manualLayout>
      </c:layout>
      <c:scatterChart>
        <c:scatterStyle val="lineMarker"/>
        <c:varyColors val="0"/>
        <c:ser>
          <c:idx val="0"/>
          <c:order val="0"/>
          <c:tx>
            <c:strRef>
              <c:f>例②!$P$23</c:f>
              <c:strCache>
                <c:ptCount val="1"/>
                <c:pt idx="0">
                  <c:v>基礎化学品Xのバイオプロセス生産による省エネルギー</c:v>
                </c:pt>
              </c:strCache>
            </c:strRef>
          </c:tx>
          <c:spPr>
            <a:ln w="19050" cap="rnd">
              <a:solidFill>
                <a:schemeClr val="accent1"/>
              </a:solidFill>
              <a:round/>
            </a:ln>
            <a:effectLst/>
          </c:spPr>
          <c:marker>
            <c:symbol val="square"/>
            <c:size val="8"/>
            <c:spPr>
              <a:solidFill>
                <a:srgbClr val="0000FF"/>
              </a:solidFill>
              <a:ln w="9525">
                <a:noFill/>
              </a:ln>
              <a:effectLst/>
            </c:spPr>
          </c:marker>
          <c:xVal>
            <c:numRef>
              <c:f>例②!$O$24:$O$40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例②!$P$24:$P$40</c:f>
              <c:numCache>
                <c:formatCode>0.000</c:formatCode>
                <c:ptCount val="17"/>
                <c:pt idx="0">
                  <c:v>0</c:v>
                </c:pt>
                <c:pt idx="1">
                  <c:v>0</c:v>
                </c:pt>
                <c:pt idx="2">
                  <c:v>0</c:v>
                </c:pt>
                <c:pt idx="3">
                  <c:v>0</c:v>
                </c:pt>
                <c:pt idx="4">
                  <c:v>0</c:v>
                </c:pt>
                <c:pt idx="5">
                  <c:v>1.0836000000000001</c:v>
                </c:pt>
                <c:pt idx="6">
                  <c:v>2.1672000000000002</c:v>
                </c:pt>
                <c:pt idx="7">
                  <c:v>3.2508000000000004</c:v>
                </c:pt>
                <c:pt idx="8">
                  <c:v>4.3344000000000005</c:v>
                </c:pt>
                <c:pt idx="9">
                  <c:v>5.418000000000001</c:v>
                </c:pt>
                <c:pt idx="10">
                  <c:v>6.5016000000000007</c:v>
                </c:pt>
                <c:pt idx="11">
                  <c:v>7.5852000000000013</c:v>
                </c:pt>
                <c:pt idx="12">
                  <c:v>8.6688000000000009</c:v>
                </c:pt>
                <c:pt idx="13">
                  <c:v>9.7524000000000015</c:v>
                </c:pt>
                <c:pt idx="14">
                  <c:v>10.836000000000002</c:v>
                </c:pt>
                <c:pt idx="15">
                  <c:v>11.919600000000001</c:v>
                </c:pt>
                <c:pt idx="16">
                  <c:v>13.003200000000001</c:v>
                </c:pt>
              </c:numCache>
            </c:numRef>
          </c:yVal>
          <c:smooth val="0"/>
          <c:extLst>
            <c:ext xmlns:c16="http://schemas.microsoft.com/office/drawing/2014/chart" uri="{C3380CC4-5D6E-409C-BE32-E72D297353CC}">
              <c16:uniqueId val="{00000000-087E-44C1-AFBD-567AB3C23E00}"/>
            </c:ext>
          </c:extLst>
        </c:ser>
        <c:ser>
          <c:idx val="1"/>
          <c:order val="1"/>
          <c:tx>
            <c:strRef>
              <c:f>例②!$Q$23</c:f>
              <c:strCache>
                <c:ptCount val="1"/>
                <c:pt idx="0">
                  <c:v>#REF!</c:v>
                </c:pt>
              </c:strCache>
            </c:strRef>
          </c:tx>
          <c:spPr>
            <a:ln w="19050" cap="rnd">
              <a:solidFill>
                <a:schemeClr val="accent2"/>
              </a:solidFill>
              <a:round/>
            </a:ln>
            <a:effectLst/>
          </c:spPr>
          <c:marker>
            <c:symbol val="triangle"/>
            <c:size val="8"/>
            <c:spPr>
              <a:solidFill>
                <a:srgbClr val="00B050"/>
              </a:solidFill>
              <a:ln w="9525">
                <a:solidFill>
                  <a:srgbClr val="00B050"/>
                </a:solidFill>
              </a:ln>
              <a:effectLst/>
            </c:spPr>
          </c:marker>
          <c:xVal>
            <c:numRef>
              <c:f>例②!$O$24:$O$40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例②!$Q$24:$Q$40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087E-44C1-AFBD-567AB3C23E00}"/>
            </c:ext>
          </c:extLst>
        </c:ser>
        <c:ser>
          <c:idx val="2"/>
          <c:order val="2"/>
          <c:tx>
            <c:strRef>
              <c:f>例②!$R$23</c:f>
              <c:strCache>
                <c:ptCount val="1"/>
                <c:pt idx="0">
                  <c:v>#REF!</c:v>
                </c:pt>
              </c:strCache>
            </c:strRef>
          </c:tx>
          <c:spPr>
            <a:ln w="19050" cap="rnd">
              <a:solidFill>
                <a:schemeClr val="accent3"/>
              </a:solidFill>
              <a:round/>
            </a:ln>
            <a:effectLst/>
          </c:spPr>
          <c:marker>
            <c:symbol val="diamond"/>
            <c:size val="8"/>
            <c:spPr>
              <a:solidFill>
                <a:srgbClr val="00B0F0"/>
              </a:solidFill>
              <a:ln w="9525">
                <a:noFill/>
              </a:ln>
              <a:effectLst/>
            </c:spPr>
          </c:marker>
          <c:xVal>
            <c:numRef>
              <c:f>例②!$O$24:$O$40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例②!$R$24:$R$40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2-087E-44C1-AFBD-567AB3C23E00}"/>
            </c:ext>
          </c:extLst>
        </c:ser>
        <c:ser>
          <c:idx val="3"/>
          <c:order val="3"/>
          <c:tx>
            <c:strRef>
              <c:f>例②!$S$23</c:f>
              <c:strCache>
                <c:ptCount val="1"/>
                <c:pt idx="0">
                  <c:v>#REF!</c:v>
                </c:pt>
              </c:strCache>
            </c:strRef>
          </c:tx>
          <c:spPr>
            <a:ln w="19050" cap="rnd">
              <a:solidFill>
                <a:schemeClr val="accent4"/>
              </a:solidFill>
              <a:round/>
            </a:ln>
            <a:effectLst/>
          </c:spPr>
          <c:marker>
            <c:symbol val="circle"/>
            <c:size val="8"/>
            <c:spPr>
              <a:solidFill>
                <a:srgbClr val="FFC000"/>
              </a:solidFill>
              <a:ln w="9525">
                <a:noFill/>
              </a:ln>
              <a:effectLst/>
            </c:spPr>
          </c:marker>
          <c:xVal>
            <c:numRef>
              <c:f>例②!$O$24:$O$40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例②!$S$24:$S$40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3-087E-44C1-AFBD-567AB3C23E00}"/>
            </c:ext>
          </c:extLst>
        </c:ser>
        <c:ser>
          <c:idx val="4"/>
          <c:order val="4"/>
          <c:tx>
            <c:strRef>
              <c:f>例②!$T$23</c:f>
              <c:strCache>
                <c:ptCount val="1"/>
                <c:pt idx="0">
                  <c:v>合計</c:v>
                </c:pt>
              </c:strCache>
            </c:strRef>
          </c:tx>
          <c:spPr>
            <a:ln w="19050" cap="rnd">
              <a:solidFill>
                <a:srgbClr val="C00000"/>
              </a:solidFill>
              <a:round/>
            </a:ln>
            <a:effectLst/>
          </c:spPr>
          <c:marker>
            <c:symbol val="circle"/>
            <c:size val="8"/>
            <c:spPr>
              <a:solidFill>
                <a:schemeClr val="bg1"/>
              </a:solidFill>
              <a:ln w="15875">
                <a:solidFill>
                  <a:srgbClr val="C00000"/>
                </a:solidFill>
              </a:ln>
              <a:effectLst/>
            </c:spPr>
          </c:marker>
          <c:xVal>
            <c:numRef>
              <c:f>例②!$O$24:$O$40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例②!$T$24:$T$40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4-087E-44C1-AFBD-567AB3C23E00}"/>
            </c:ext>
          </c:extLst>
        </c:ser>
        <c:dLbls>
          <c:showLegendKey val="0"/>
          <c:showVal val="0"/>
          <c:showCatName val="0"/>
          <c:showSerName val="0"/>
          <c:showPercent val="0"/>
          <c:showBubbleSize val="0"/>
        </c:dLbls>
        <c:axId val="1124111216"/>
        <c:axId val="1124112048"/>
      </c:scatterChart>
      <c:valAx>
        <c:axId val="1124111216"/>
        <c:scaling>
          <c:orientation val="minMax"/>
          <c:max val="2040"/>
          <c:min val="20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年度</a:t>
                </a:r>
              </a:p>
            </c:rich>
          </c:tx>
          <c:layout>
            <c:manualLayout>
              <c:xMode val="edge"/>
              <c:yMode val="edge"/>
              <c:x val="0.95384694109293278"/>
              <c:y val="0.8423620599794340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2048"/>
        <c:crosses val="autoZero"/>
        <c:crossBetween val="midCat"/>
        <c:majorUnit val="1"/>
      </c:valAx>
      <c:valAx>
        <c:axId val="112411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（万</a:t>
                </a:r>
                <a:r>
                  <a:rPr lang="en-US" altLang="ja-JP" sz="1050" b="1">
                    <a:latin typeface="ＭＳ Ｐゴシック" panose="020B0600070205080204" pitchFamily="50" charset="-128"/>
                    <a:ea typeface="ＭＳ Ｐゴシック" panose="020B0600070205080204" pitchFamily="50" charset="-128"/>
                  </a:rPr>
                  <a:t>kL/</a:t>
                </a:r>
                <a:r>
                  <a:rPr lang="ja-JP" altLang="en-US" sz="1050" b="1">
                    <a:latin typeface="ＭＳ Ｐゴシック" panose="020B0600070205080204" pitchFamily="50" charset="-128"/>
                    <a:ea typeface="ＭＳ Ｐゴシック" panose="020B0600070205080204" pitchFamily="50" charset="-128"/>
                  </a:rPr>
                  <a:t>年）</a:t>
                </a:r>
              </a:p>
            </c:rich>
          </c:tx>
          <c:layout>
            <c:manualLayout>
              <c:xMode val="edge"/>
              <c:yMode val="edge"/>
              <c:x val="1.4603870025556773E-2"/>
              <c:y val="2.5140730867293033E-2"/>
            </c:manualLayout>
          </c:layout>
          <c:overlay val="0"/>
          <c:spPr>
            <a:noFill/>
            <a:ln>
              <a:noFill/>
            </a:ln>
            <a:effectLst/>
          </c:spPr>
          <c:txPr>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1216"/>
        <c:crosses val="autoZero"/>
        <c:crossBetween val="midCat"/>
      </c:valAx>
      <c:spPr>
        <a:noFill/>
        <a:ln>
          <a:solidFill>
            <a:schemeClr val="tx1"/>
          </a:solidFill>
        </a:ln>
        <a:effectLst/>
      </c:spPr>
    </c:plotArea>
    <c:legend>
      <c:legendPos val="b"/>
      <c:layout>
        <c:manualLayout>
          <c:xMode val="edge"/>
          <c:yMode val="edge"/>
          <c:x val="5.7555116672847448E-2"/>
          <c:y val="0.864724049527405"/>
          <c:w val="0.88488965166320255"/>
          <c:h val="0.1240949556986096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ja-JP" sz="1050" b="1" i="0" baseline="0">
                <a:effectLst/>
                <a:latin typeface="ＭＳ Ｐゴシック" panose="020B0600070205080204" pitchFamily="50" charset="-128"/>
                <a:ea typeface="ＭＳ Ｐゴシック" panose="020B0600070205080204" pitchFamily="50" charset="-128"/>
              </a:rPr>
              <a:t>省エネ効果量積算値</a:t>
            </a:r>
            <a:r>
              <a:rPr lang="en-US" altLang="ja-JP" sz="1050" b="1" i="0" baseline="0">
                <a:effectLst/>
                <a:latin typeface="ＭＳ Ｐゴシック" panose="020B0600070205080204" pitchFamily="50" charset="-128"/>
                <a:ea typeface="ＭＳ Ｐゴシック" panose="020B0600070205080204" pitchFamily="50" charset="-128"/>
              </a:rPr>
              <a:t>(</a:t>
            </a:r>
            <a:r>
              <a:rPr lang="ja-JP" altLang="en-US" sz="1050" b="1" i="0" baseline="0">
                <a:effectLst/>
                <a:latin typeface="ＭＳ Ｐゴシック" panose="020B0600070205080204" pitchFamily="50" charset="-128"/>
                <a:ea typeface="ＭＳ Ｐゴシック" panose="020B0600070205080204" pitchFamily="50" charset="-128"/>
              </a:rPr>
              <a:t>国内</a:t>
            </a:r>
            <a:r>
              <a:rPr lang="en-US" altLang="ja-JP" sz="1050" b="1" i="0" baseline="0">
                <a:effectLst/>
                <a:latin typeface="ＭＳ Ｐゴシック" panose="020B0600070205080204" pitchFamily="50" charset="-128"/>
                <a:ea typeface="ＭＳ Ｐゴシック" panose="020B0600070205080204" pitchFamily="50" charset="-128"/>
              </a:rPr>
              <a:t>)</a:t>
            </a:r>
            <a:endParaRPr lang="ja-JP" altLang="ja-JP" sz="1050" b="1">
              <a:effectLst/>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ltLang="ja-JP"/>
        </a:p>
      </c:txPr>
    </c:title>
    <c:autoTitleDeleted val="0"/>
    <c:plotArea>
      <c:layout>
        <c:manualLayout>
          <c:layoutTarget val="inner"/>
          <c:xMode val="edge"/>
          <c:yMode val="edge"/>
          <c:x val="6.0056058162499683E-2"/>
          <c:y val="0.1055370099432396"/>
          <c:w val="0.9084287903223488"/>
          <c:h val="0.68087333868916966"/>
        </c:manualLayout>
      </c:layout>
      <c:scatterChart>
        <c:scatterStyle val="lineMarker"/>
        <c:varyColors val="0"/>
        <c:ser>
          <c:idx val="0"/>
          <c:order val="0"/>
          <c:tx>
            <c:strRef>
              <c:f>例③!$P$23</c:f>
              <c:strCache>
                <c:ptCount val="1"/>
                <c:pt idx="0">
                  <c:v>500MW級耐熱型高効率発電機</c:v>
                </c:pt>
              </c:strCache>
            </c:strRef>
          </c:tx>
          <c:spPr>
            <a:ln w="19050" cap="rnd">
              <a:solidFill>
                <a:schemeClr val="accent1"/>
              </a:solidFill>
              <a:round/>
            </a:ln>
            <a:effectLst/>
          </c:spPr>
          <c:marker>
            <c:symbol val="square"/>
            <c:size val="8"/>
            <c:spPr>
              <a:solidFill>
                <a:srgbClr val="0000FF"/>
              </a:solidFill>
              <a:ln w="9525">
                <a:noFill/>
              </a:ln>
              <a:effectLst/>
            </c:spPr>
          </c:marker>
          <c:xVal>
            <c:numRef>
              <c:f>例③!$O$24:$O$40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例③!$P$24:$P$40</c:f>
              <c:numCache>
                <c:formatCode>0.000</c:formatCode>
                <c:ptCount val="17"/>
                <c:pt idx="0">
                  <c:v>0</c:v>
                </c:pt>
                <c:pt idx="1">
                  <c:v>0</c:v>
                </c:pt>
                <c:pt idx="2">
                  <c:v>0</c:v>
                </c:pt>
                <c:pt idx="3">
                  <c:v>0</c:v>
                </c:pt>
                <c:pt idx="4">
                  <c:v>1.6103070000000066</c:v>
                </c:pt>
                <c:pt idx="5">
                  <c:v>1.6103070000000066</c:v>
                </c:pt>
                <c:pt idx="6">
                  <c:v>1.6103070000000066</c:v>
                </c:pt>
                <c:pt idx="7">
                  <c:v>3.2206140000000132</c:v>
                </c:pt>
                <c:pt idx="8">
                  <c:v>3.2206140000000132</c:v>
                </c:pt>
                <c:pt idx="9">
                  <c:v>3.2206140000000132</c:v>
                </c:pt>
                <c:pt idx="10">
                  <c:v>4.8309210000000196</c:v>
                </c:pt>
                <c:pt idx="11">
                  <c:v>4.8309210000000196</c:v>
                </c:pt>
                <c:pt idx="12">
                  <c:v>4.8309210000000196</c:v>
                </c:pt>
                <c:pt idx="13">
                  <c:v>6.4412280000000264</c:v>
                </c:pt>
                <c:pt idx="14">
                  <c:v>6.4412280000000264</c:v>
                </c:pt>
                <c:pt idx="15">
                  <c:v>6.4412280000000264</c:v>
                </c:pt>
                <c:pt idx="16">
                  <c:v>8.0515350000000332</c:v>
                </c:pt>
              </c:numCache>
            </c:numRef>
          </c:yVal>
          <c:smooth val="0"/>
          <c:extLst>
            <c:ext xmlns:c16="http://schemas.microsoft.com/office/drawing/2014/chart" uri="{C3380CC4-5D6E-409C-BE32-E72D297353CC}">
              <c16:uniqueId val="{00000000-5CA9-44EC-90A9-4D3C49291A93}"/>
            </c:ext>
          </c:extLst>
        </c:ser>
        <c:ser>
          <c:idx val="1"/>
          <c:order val="1"/>
          <c:tx>
            <c:strRef>
              <c:f>例③!$Q$23</c:f>
              <c:strCache>
                <c:ptCount val="1"/>
                <c:pt idx="0">
                  <c:v>#REF!</c:v>
                </c:pt>
              </c:strCache>
            </c:strRef>
          </c:tx>
          <c:spPr>
            <a:ln w="19050" cap="rnd">
              <a:solidFill>
                <a:schemeClr val="accent2"/>
              </a:solidFill>
              <a:round/>
            </a:ln>
            <a:effectLst/>
          </c:spPr>
          <c:marker>
            <c:symbol val="triangle"/>
            <c:size val="8"/>
            <c:spPr>
              <a:solidFill>
                <a:srgbClr val="00B050"/>
              </a:solidFill>
              <a:ln w="9525">
                <a:noFill/>
              </a:ln>
              <a:effectLst/>
            </c:spPr>
          </c:marker>
          <c:xVal>
            <c:numRef>
              <c:f>例③!$O$24:$O$40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例③!$Q$24:$Q$40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5CA9-44EC-90A9-4D3C49291A93}"/>
            </c:ext>
          </c:extLst>
        </c:ser>
        <c:ser>
          <c:idx val="2"/>
          <c:order val="2"/>
          <c:tx>
            <c:strRef>
              <c:f>例③!$R$23</c:f>
              <c:strCache>
                <c:ptCount val="1"/>
                <c:pt idx="0">
                  <c:v>#REF!</c:v>
                </c:pt>
              </c:strCache>
            </c:strRef>
          </c:tx>
          <c:spPr>
            <a:ln w="19050" cap="rnd">
              <a:solidFill>
                <a:schemeClr val="accent3"/>
              </a:solidFill>
              <a:round/>
            </a:ln>
            <a:effectLst/>
          </c:spPr>
          <c:marker>
            <c:symbol val="diamond"/>
            <c:size val="8"/>
            <c:spPr>
              <a:solidFill>
                <a:srgbClr val="00B0F0"/>
              </a:solidFill>
              <a:ln w="9525">
                <a:noFill/>
              </a:ln>
              <a:effectLst/>
            </c:spPr>
          </c:marker>
          <c:xVal>
            <c:numRef>
              <c:f>例③!$O$24:$O$40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例③!$R$24:$R$40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2-5CA9-44EC-90A9-4D3C49291A93}"/>
            </c:ext>
          </c:extLst>
        </c:ser>
        <c:ser>
          <c:idx val="3"/>
          <c:order val="3"/>
          <c:tx>
            <c:strRef>
              <c:f>例③!$S$23</c:f>
              <c:strCache>
                <c:ptCount val="1"/>
                <c:pt idx="0">
                  <c:v>#REF!</c:v>
                </c:pt>
              </c:strCache>
            </c:strRef>
          </c:tx>
          <c:spPr>
            <a:ln w="19050" cap="rnd">
              <a:solidFill>
                <a:schemeClr val="accent4"/>
              </a:solidFill>
              <a:round/>
            </a:ln>
            <a:effectLst/>
          </c:spPr>
          <c:marker>
            <c:symbol val="circle"/>
            <c:size val="8"/>
            <c:spPr>
              <a:solidFill>
                <a:srgbClr val="FFC000"/>
              </a:solidFill>
              <a:ln w="9525">
                <a:noFill/>
              </a:ln>
              <a:effectLst/>
            </c:spPr>
          </c:marker>
          <c:xVal>
            <c:numRef>
              <c:f>例③!$O$24:$O$40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例③!$S$24:$S$40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3-5CA9-44EC-90A9-4D3C49291A93}"/>
            </c:ext>
          </c:extLst>
        </c:ser>
        <c:ser>
          <c:idx val="4"/>
          <c:order val="4"/>
          <c:tx>
            <c:strRef>
              <c:f>例③!$T$23</c:f>
              <c:strCache>
                <c:ptCount val="1"/>
                <c:pt idx="0">
                  <c:v>合計</c:v>
                </c:pt>
              </c:strCache>
            </c:strRef>
          </c:tx>
          <c:spPr>
            <a:ln w="19050" cap="rnd">
              <a:solidFill>
                <a:srgbClr val="C00000"/>
              </a:solidFill>
              <a:round/>
            </a:ln>
            <a:effectLst/>
          </c:spPr>
          <c:marker>
            <c:symbol val="circle"/>
            <c:size val="8"/>
            <c:spPr>
              <a:solidFill>
                <a:schemeClr val="bg1"/>
              </a:solidFill>
              <a:ln w="15875">
                <a:solidFill>
                  <a:srgbClr val="C00000"/>
                </a:solidFill>
              </a:ln>
              <a:effectLst/>
            </c:spPr>
          </c:marker>
          <c:xVal>
            <c:numRef>
              <c:f>例③!$O$24:$O$40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例③!$T$24:$T$40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4-5CA9-44EC-90A9-4D3C49291A93}"/>
            </c:ext>
          </c:extLst>
        </c:ser>
        <c:dLbls>
          <c:showLegendKey val="0"/>
          <c:showVal val="0"/>
          <c:showCatName val="0"/>
          <c:showSerName val="0"/>
          <c:showPercent val="0"/>
          <c:showBubbleSize val="0"/>
        </c:dLbls>
        <c:axId val="1124111216"/>
        <c:axId val="1124112048"/>
      </c:scatterChart>
      <c:valAx>
        <c:axId val="1124111216"/>
        <c:scaling>
          <c:orientation val="minMax"/>
          <c:max val="2040"/>
          <c:min val="20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年度</a:t>
                </a:r>
              </a:p>
            </c:rich>
          </c:tx>
          <c:layout>
            <c:manualLayout>
              <c:xMode val="edge"/>
              <c:yMode val="edge"/>
              <c:x val="0.95384694109293278"/>
              <c:y val="0.8423620599794340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2048"/>
        <c:crosses val="autoZero"/>
        <c:crossBetween val="midCat"/>
        <c:majorUnit val="1"/>
      </c:valAx>
      <c:valAx>
        <c:axId val="112411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（万</a:t>
                </a:r>
                <a:r>
                  <a:rPr lang="en-US" altLang="ja-JP" sz="1050" b="1">
                    <a:latin typeface="ＭＳ Ｐゴシック" panose="020B0600070205080204" pitchFamily="50" charset="-128"/>
                    <a:ea typeface="ＭＳ Ｐゴシック" panose="020B0600070205080204" pitchFamily="50" charset="-128"/>
                  </a:rPr>
                  <a:t>kL/</a:t>
                </a:r>
                <a:r>
                  <a:rPr lang="ja-JP" altLang="en-US" sz="1050" b="1">
                    <a:latin typeface="ＭＳ Ｐゴシック" panose="020B0600070205080204" pitchFamily="50" charset="-128"/>
                    <a:ea typeface="ＭＳ Ｐゴシック" panose="020B0600070205080204" pitchFamily="50" charset="-128"/>
                  </a:rPr>
                  <a:t>年）</a:t>
                </a:r>
              </a:p>
            </c:rich>
          </c:tx>
          <c:layout>
            <c:manualLayout>
              <c:xMode val="edge"/>
              <c:yMode val="edge"/>
              <c:x val="1.4603870025556773E-2"/>
              <c:y val="2.5140730867293033E-2"/>
            </c:manualLayout>
          </c:layout>
          <c:overlay val="0"/>
          <c:spPr>
            <a:noFill/>
            <a:ln>
              <a:noFill/>
            </a:ln>
            <a:effectLst/>
          </c:spPr>
          <c:txPr>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1216"/>
        <c:crosses val="autoZero"/>
        <c:crossBetween val="midCat"/>
      </c:valAx>
      <c:spPr>
        <a:noFill/>
        <a:ln>
          <a:solidFill>
            <a:schemeClr val="tx1"/>
          </a:solidFill>
        </a:ln>
        <a:effectLst/>
      </c:spPr>
    </c:plotArea>
    <c:legend>
      <c:legendPos val="b"/>
      <c:layout>
        <c:manualLayout>
          <c:xMode val="edge"/>
          <c:yMode val="edge"/>
          <c:x val="5.7555116672847448E-2"/>
          <c:y val="0.864724049527405"/>
          <c:w val="0.88488965166320255"/>
          <c:h val="0.1240949556986096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ja-JP" sz="1050" b="1" i="0" baseline="0">
                <a:effectLst/>
                <a:latin typeface="ＭＳ Ｐゴシック" panose="020B0600070205080204" pitchFamily="50" charset="-128"/>
                <a:ea typeface="ＭＳ Ｐゴシック" panose="020B0600070205080204" pitchFamily="50" charset="-128"/>
              </a:rPr>
              <a:t>省エネ効果量積算値</a:t>
            </a:r>
            <a:r>
              <a:rPr lang="en-US" altLang="ja-JP" sz="1050" b="1" i="0" baseline="0">
                <a:effectLst/>
                <a:latin typeface="ＭＳ Ｐゴシック" panose="020B0600070205080204" pitchFamily="50" charset="-128"/>
                <a:ea typeface="ＭＳ Ｐゴシック" panose="020B0600070205080204" pitchFamily="50" charset="-128"/>
              </a:rPr>
              <a:t>(</a:t>
            </a:r>
            <a:r>
              <a:rPr lang="ja-JP" altLang="en-US" sz="1050" b="1" i="0" baseline="0">
                <a:effectLst/>
                <a:latin typeface="ＭＳ Ｐゴシック" panose="020B0600070205080204" pitchFamily="50" charset="-128"/>
                <a:ea typeface="ＭＳ Ｐゴシック" panose="020B0600070205080204" pitchFamily="50" charset="-128"/>
              </a:rPr>
              <a:t>国内</a:t>
            </a:r>
            <a:r>
              <a:rPr lang="en-US" altLang="ja-JP" sz="1050" b="1" i="0" baseline="0">
                <a:effectLst/>
                <a:latin typeface="ＭＳ Ｐゴシック" panose="020B0600070205080204" pitchFamily="50" charset="-128"/>
                <a:ea typeface="ＭＳ Ｐゴシック" panose="020B0600070205080204" pitchFamily="50" charset="-128"/>
              </a:rPr>
              <a:t>)</a:t>
            </a:r>
            <a:endParaRPr lang="ja-JP" altLang="ja-JP" sz="1050" b="1">
              <a:effectLst/>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ltLang="ja-JP"/>
        </a:p>
      </c:txPr>
    </c:title>
    <c:autoTitleDeleted val="0"/>
    <c:plotArea>
      <c:layout>
        <c:manualLayout>
          <c:layoutTarget val="inner"/>
          <c:xMode val="edge"/>
          <c:yMode val="edge"/>
          <c:x val="6.0056058162499683E-2"/>
          <c:y val="0.1055370099432396"/>
          <c:w val="0.9084287903223488"/>
          <c:h val="0.68087333868916966"/>
        </c:manualLayout>
      </c:layout>
      <c:scatterChart>
        <c:scatterStyle val="lineMarker"/>
        <c:varyColors val="0"/>
        <c:ser>
          <c:idx val="0"/>
          <c:order val="0"/>
          <c:tx>
            <c:strRef>
              <c:f>例④!$P$23</c:f>
              <c:strCache>
                <c:ptCount val="1"/>
                <c:pt idx="0">
                  <c:v>自動車部材のCFRPへの置き換えによる車両の軽量化</c:v>
                </c:pt>
              </c:strCache>
            </c:strRef>
          </c:tx>
          <c:spPr>
            <a:ln w="19050" cap="rnd">
              <a:solidFill>
                <a:schemeClr val="accent1"/>
              </a:solidFill>
              <a:round/>
            </a:ln>
            <a:effectLst/>
          </c:spPr>
          <c:marker>
            <c:symbol val="square"/>
            <c:size val="8"/>
            <c:spPr>
              <a:solidFill>
                <a:srgbClr val="0000FF"/>
              </a:solidFill>
              <a:ln w="9525">
                <a:noFill/>
              </a:ln>
              <a:effectLst/>
            </c:spPr>
          </c:marker>
          <c:xVal>
            <c:numRef>
              <c:f>例④!$O$24:$O$40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例④!$P$24:$P$40</c:f>
              <c:numCache>
                <c:formatCode>0.000</c:formatCode>
                <c:ptCount val="17"/>
                <c:pt idx="0">
                  <c:v>0</c:v>
                </c:pt>
                <c:pt idx="1">
                  <c:v>0</c:v>
                </c:pt>
                <c:pt idx="2">
                  <c:v>0.11794198300884989</c:v>
                </c:pt>
                <c:pt idx="3">
                  <c:v>0.35382594902654962</c:v>
                </c:pt>
                <c:pt idx="4">
                  <c:v>0.70765189805309925</c:v>
                </c:pt>
                <c:pt idx="5">
                  <c:v>1.1794198300884988</c:v>
                </c:pt>
                <c:pt idx="6">
                  <c:v>1.7691297451327481</c:v>
                </c:pt>
                <c:pt idx="7">
                  <c:v>2.4178106516814228</c:v>
                </c:pt>
                <c:pt idx="8">
                  <c:v>3.1254625497345221</c:v>
                </c:pt>
                <c:pt idx="9">
                  <c:v>3.8920854392920461</c:v>
                </c:pt>
                <c:pt idx="10">
                  <c:v>4.7176793203539953</c:v>
                </c:pt>
                <c:pt idx="11">
                  <c:v>5.6022441929203692</c:v>
                </c:pt>
                <c:pt idx="12">
                  <c:v>6.4868090654867432</c:v>
                </c:pt>
                <c:pt idx="13">
                  <c:v>7.3713739380531171</c:v>
                </c:pt>
                <c:pt idx="14">
                  <c:v>8.255938810619492</c:v>
                </c:pt>
                <c:pt idx="15">
                  <c:v>9.1405036831858659</c:v>
                </c:pt>
                <c:pt idx="16">
                  <c:v>10.02506855575224</c:v>
                </c:pt>
              </c:numCache>
            </c:numRef>
          </c:yVal>
          <c:smooth val="0"/>
          <c:extLst>
            <c:ext xmlns:c16="http://schemas.microsoft.com/office/drawing/2014/chart" uri="{C3380CC4-5D6E-409C-BE32-E72D297353CC}">
              <c16:uniqueId val="{00000000-8E10-435F-B364-4D16F926D6FA}"/>
            </c:ext>
          </c:extLst>
        </c:ser>
        <c:ser>
          <c:idx val="1"/>
          <c:order val="1"/>
          <c:tx>
            <c:strRef>
              <c:f>例④!$Q$23</c:f>
              <c:strCache>
                <c:ptCount val="1"/>
                <c:pt idx="0">
                  <c:v>#REF!</c:v>
                </c:pt>
              </c:strCache>
            </c:strRef>
          </c:tx>
          <c:spPr>
            <a:ln w="19050" cap="rnd">
              <a:solidFill>
                <a:srgbClr val="00B050"/>
              </a:solidFill>
              <a:round/>
            </a:ln>
            <a:effectLst/>
          </c:spPr>
          <c:marker>
            <c:symbol val="triangle"/>
            <c:size val="8"/>
            <c:spPr>
              <a:solidFill>
                <a:srgbClr val="00B050"/>
              </a:solidFill>
              <a:ln w="9525">
                <a:solidFill>
                  <a:srgbClr val="00B050"/>
                </a:solidFill>
              </a:ln>
              <a:effectLst/>
            </c:spPr>
          </c:marker>
          <c:xVal>
            <c:numRef>
              <c:f>例④!$O$24:$O$40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例④!$Q$24:$Q$40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8E10-435F-B364-4D16F926D6FA}"/>
            </c:ext>
          </c:extLst>
        </c:ser>
        <c:ser>
          <c:idx val="2"/>
          <c:order val="2"/>
          <c:tx>
            <c:strRef>
              <c:f>例④!$R$23</c:f>
              <c:strCache>
                <c:ptCount val="1"/>
                <c:pt idx="0">
                  <c:v>#REF!</c:v>
                </c:pt>
              </c:strCache>
            </c:strRef>
          </c:tx>
          <c:spPr>
            <a:ln w="19050" cap="rnd">
              <a:solidFill>
                <a:srgbClr val="00B0F0"/>
              </a:solidFill>
              <a:round/>
            </a:ln>
            <a:effectLst/>
          </c:spPr>
          <c:marker>
            <c:symbol val="diamond"/>
            <c:size val="8"/>
            <c:spPr>
              <a:solidFill>
                <a:srgbClr val="00B0F0"/>
              </a:solidFill>
              <a:ln w="9525">
                <a:solidFill>
                  <a:srgbClr val="00B0F0"/>
                </a:solidFill>
              </a:ln>
              <a:effectLst/>
            </c:spPr>
          </c:marker>
          <c:xVal>
            <c:numRef>
              <c:f>例④!$O$24:$O$40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例④!$R$24:$R$40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2-8E10-435F-B364-4D16F926D6FA}"/>
            </c:ext>
          </c:extLst>
        </c:ser>
        <c:ser>
          <c:idx val="3"/>
          <c:order val="3"/>
          <c:tx>
            <c:strRef>
              <c:f>例④!$S$23</c:f>
              <c:strCache>
                <c:ptCount val="1"/>
                <c:pt idx="0">
                  <c:v>#REF!</c:v>
                </c:pt>
              </c:strCache>
            </c:strRef>
          </c:tx>
          <c:spPr>
            <a:ln w="19050" cap="rnd">
              <a:solidFill>
                <a:schemeClr val="accent4"/>
              </a:solidFill>
              <a:round/>
            </a:ln>
            <a:effectLst/>
          </c:spPr>
          <c:marker>
            <c:symbol val="circle"/>
            <c:size val="8"/>
            <c:spPr>
              <a:solidFill>
                <a:srgbClr val="FFC000"/>
              </a:solidFill>
              <a:ln w="9525">
                <a:noFill/>
              </a:ln>
              <a:effectLst/>
            </c:spPr>
          </c:marker>
          <c:xVal>
            <c:numRef>
              <c:f>例④!$O$24:$O$40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例④!$S$24:$S$40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3-8E10-435F-B364-4D16F926D6FA}"/>
            </c:ext>
          </c:extLst>
        </c:ser>
        <c:ser>
          <c:idx val="4"/>
          <c:order val="4"/>
          <c:tx>
            <c:strRef>
              <c:f>例④!$T$23</c:f>
              <c:strCache>
                <c:ptCount val="1"/>
                <c:pt idx="0">
                  <c:v>合計</c:v>
                </c:pt>
              </c:strCache>
            </c:strRef>
          </c:tx>
          <c:spPr>
            <a:ln w="19050" cap="rnd">
              <a:solidFill>
                <a:srgbClr val="C00000"/>
              </a:solidFill>
              <a:round/>
            </a:ln>
            <a:effectLst/>
          </c:spPr>
          <c:marker>
            <c:symbol val="circle"/>
            <c:size val="8"/>
            <c:spPr>
              <a:solidFill>
                <a:schemeClr val="bg1"/>
              </a:solidFill>
              <a:ln w="15875">
                <a:solidFill>
                  <a:srgbClr val="C00000"/>
                </a:solidFill>
              </a:ln>
              <a:effectLst/>
            </c:spPr>
          </c:marker>
          <c:xVal>
            <c:numRef>
              <c:f>例④!$O$24:$O$40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例④!$T$24:$T$40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4-8E10-435F-B364-4D16F926D6FA}"/>
            </c:ext>
          </c:extLst>
        </c:ser>
        <c:dLbls>
          <c:showLegendKey val="0"/>
          <c:showVal val="0"/>
          <c:showCatName val="0"/>
          <c:showSerName val="0"/>
          <c:showPercent val="0"/>
          <c:showBubbleSize val="0"/>
        </c:dLbls>
        <c:axId val="1124111216"/>
        <c:axId val="1124112048"/>
      </c:scatterChart>
      <c:valAx>
        <c:axId val="1124111216"/>
        <c:scaling>
          <c:orientation val="minMax"/>
          <c:max val="2040"/>
          <c:min val="20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年度</a:t>
                </a:r>
              </a:p>
            </c:rich>
          </c:tx>
          <c:layout>
            <c:manualLayout>
              <c:xMode val="edge"/>
              <c:yMode val="edge"/>
              <c:x val="0.95384694109293278"/>
              <c:y val="0.8423620599794340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2048"/>
        <c:crosses val="autoZero"/>
        <c:crossBetween val="midCat"/>
        <c:majorUnit val="1"/>
      </c:valAx>
      <c:valAx>
        <c:axId val="112411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（万</a:t>
                </a:r>
                <a:r>
                  <a:rPr lang="en-US" altLang="ja-JP" sz="1050" b="1">
                    <a:latin typeface="ＭＳ Ｐゴシック" panose="020B0600070205080204" pitchFamily="50" charset="-128"/>
                    <a:ea typeface="ＭＳ Ｐゴシック" panose="020B0600070205080204" pitchFamily="50" charset="-128"/>
                  </a:rPr>
                  <a:t>kL/</a:t>
                </a:r>
                <a:r>
                  <a:rPr lang="ja-JP" altLang="en-US" sz="1050" b="1">
                    <a:latin typeface="ＭＳ Ｐゴシック" panose="020B0600070205080204" pitchFamily="50" charset="-128"/>
                    <a:ea typeface="ＭＳ Ｐゴシック" panose="020B0600070205080204" pitchFamily="50" charset="-128"/>
                  </a:rPr>
                  <a:t>年）</a:t>
                </a:r>
              </a:p>
            </c:rich>
          </c:tx>
          <c:layout>
            <c:manualLayout>
              <c:xMode val="edge"/>
              <c:yMode val="edge"/>
              <c:x val="1.4603870025556773E-2"/>
              <c:y val="2.5140730867293033E-2"/>
            </c:manualLayout>
          </c:layout>
          <c:overlay val="0"/>
          <c:spPr>
            <a:noFill/>
            <a:ln>
              <a:noFill/>
            </a:ln>
            <a:effectLst/>
          </c:spPr>
          <c:txPr>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1216"/>
        <c:crosses val="autoZero"/>
        <c:crossBetween val="midCat"/>
      </c:valAx>
      <c:spPr>
        <a:noFill/>
        <a:ln>
          <a:solidFill>
            <a:schemeClr val="tx1"/>
          </a:solidFill>
        </a:ln>
        <a:effectLst/>
      </c:spPr>
    </c:plotArea>
    <c:legend>
      <c:legendPos val="b"/>
      <c:layout>
        <c:manualLayout>
          <c:xMode val="edge"/>
          <c:yMode val="edge"/>
          <c:x val="5.7555116672847448E-2"/>
          <c:y val="0.864724049527405"/>
          <c:w val="0.88488965166320255"/>
          <c:h val="0.1240949556986096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ja-JP" sz="1050" b="1" i="0" baseline="0">
                <a:effectLst/>
                <a:latin typeface="ＭＳ Ｐゴシック" panose="020B0600070205080204" pitchFamily="50" charset="-128"/>
                <a:ea typeface="ＭＳ Ｐゴシック" panose="020B0600070205080204" pitchFamily="50" charset="-128"/>
              </a:rPr>
              <a:t>省エネ効果量積算値</a:t>
            </a:r>
            <a:r>
              <a:rPr lang="en-US" altLang="ja-JP" sz="1050" b="1" i="0" baseline="0">
                <a:effectLst/>
                <a:latin typeface="ＭＳ Ｐゴシック" panose="020B0600070205080204" pitchFamily="50" charset="-128"/>
                <a:ea typeface="ＭＳ Ｐゴシック" panose="020B0600070205080204" pitchFamily="50" charset="-128"/>
              </a:rPr>
              <a:t>(</a:t>
            </a:r>
            <a:r>
              <a:rPr lang="ja-JP" altLang="en-US" sz="1050" b="1" i="0" baseline="0">
                <a:effectLst/>
                <a:latin typeface="ＭＳ Ｐゴシック" panose="020B0600070205080204" pitchFamily="50" charset="-128"/>
                <a:ea typeface="ＭＳ Ｐゴシック" panose="020B0600070205080204" pitchFamily="50" charset="-128"/>
              </a:rPr>
              <a:t>国内</a:t>
            </a:r>
            <a:r>
              <a:rPr lang="en-US" altLang="ja-JP" sz="1050" b="1" i="0" baseline="0">
                <a:effectLst/>
                <a:latin typeface="ＭＳ Ｐゴシック" panose="020B0600070205080204" pitchFamily="50" charset="-128"/>
                <a:ea typeface="ＭＳ Ｐゴシック" panose="020B0600070205080204" pitchFamily="50" charset="-128"/>
              </a:rPr>
              <a:t>)</a:t>
            </a:r>
            <a:endParaRPr lang="ja-JP" altLang="ja-JP" sz="1050" b="1">
              <a:effectLst/>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ltLang="ja-JP"/>
        </a:p>
      </c:txPr>
    </c:title>
    <c:autoTitleDeleted val="0"/>
    <c:plotArea>
      <c:layout>
        <c:manualLayout>
          <c:layoutTarget val="inner"/>
          <c:xMode val="edge"/>
          <c:yMode val="edge"/>
          <c:x val="6.0056058162499683E-2"/>
          <c:y val="0.1055370099432396"/>
          <c:w val="0.9084287903223488"/>
          <c:h val="0.68087333868916966"/>
        </c:manualLayout>
      </c:layout>
      <c:scatterChart>
        <c:scatterStyle val="lineMarker"/>
        <c:varyColors val="0"/>
        <c:ser>
          <c:idx val="0"/>
          <c:order val="0"/>
          <c:tx>
            <c:strRef>
              <c:f>例⑥!$P$23</c:f>
              <c:strCache>
                <c:ptCount val="1"/>
                <c:pt idx="0">
                  <c:v>商業施設の空調</c:v>
                </c:pt>
              </c:strCache>
            </c:strRef>
          </c:tx>
          <c:spPr>
            <a:ln w="19050" cap="rnd">
              <a:solidFill>
                <a:schemeClr val="accent1"/>
              </a:solidFill>
              <a:round/>
            </a:ln>
            <a:effectLst/>
          </c:spPr>
          <c:marker>
            <c:symbol val="square"/>
            <c:size val="8"/>
            <c:spPr>
              <a:solidFill>
                <a:srgbClr val="0000FF"/>
              </a:solidFill>
              <a:ln w="9525">
                <a:noFill/>
              </a:ln>
              <a:effectLst/>
            </c:spPr>
          </c:marker>
          <c:xVal>
            <c:numRef>
              <c:f>例⑥!$O$24:$O$40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例⑥!$P$24:$P$40</c:f>
              <c:numCache>
                <c:formatCode>0.000</c:formatCode>
                <c:ptCount val="17"/>
                <c:pt idx="0">
                  <c:v>0</c:v>
                </c:pt>
                <c:pt idx="1">
                  <c:v>7.5642958080000031E-2</c:v>
                </c:pt>
                <c:pt idx="2">
                  <c:v>0.32778615168000008</c:v>
                </c:pt>
                <c:pt idx="3">
                  <c:v>0.7060009420800003</c:v>
                </c:pt>
                <c:pt idx="4">
                  <c:v>1.2102873292800005</c:v>
                </c:pt>
                <c:pt idx="5">
                  <c:v>1.8406453132800009</c:v>
                </c:pt>
                <c:pt idx="6">
                  <c:v>2.5970748940800013</c:v>
                </c:pt>
                <c:pt idx="7">
                  <c:v>3.4039331136000017</c:v>
                </c:pt>
                <c:pt idx="8">
                  <c:v>4.261219971840001</c:v>
                </c:pt>
                <c:pt idx="9">
                  <c:v>5.1689354688000018</c:v>
                </c:pt>
                <c:pt idx="10">
                  <c:v>6.1270796044800022</c:v>
                </c:pt>
                <c:pt idx="11">
                  <c:v>7.1356523788800024</c:v>
                </c:pt>
                <c:pt idx="12">
                  <c:v>8.194653792000004</c:v>
                </c:pt>
                <c:pt idx="13">
                  <c:v>9.3040838438400044</c:v>
                </c:pt>
                <c:pt idx="14">
                  <c:v>10.463942534400003</c:v>
                </c:pt>
                <c:pt idx="15">
                  <c:v>11.674229863680004</c:v>
                </c:pt>
                <c:pt idx="16">
                  <c:v>12.934945831680006</c:v>
                </c:pt>
              </c:numCache>
            </c:numRef>
          </c:yVal>
          <c:smooth val="0"/>
          <c:extLst>
            <c:ext xmlns:c16="http://schemas.microsoft.com/office/drawing/2014/chart" uri="{C3380CC4-5D6E-409C-BE32-E72D297353CC}">
              <c16:uniqueId val="{00000000-1264-43CD-9054-486A7D16DCF3}"/>
            </c:ext>
          </c:extLst>
        </c:ser>
        <c:ser>
          <c:idx val="1"/>
          <c:order val="1"/>
          <c:tx>
            <c:strRef>
              <c:f>例⑥!$Q$23</c:f>
              <c:strCache>
                <c:ptCount val="1"/>
                <c:pt idx="0">
                  <c:v>#REF!</c:v>
                </c:pt>
              </c:strCache>
            </c:strRef>
          </c:tx>
          <c:spPr>
            <a:ln w="19050" cap="rnd">
              <a:solidFill>
                <a:srgbClr val="00B050"/>
              </a:solidFill>
              <a:round/>
            </a:ln>
            <a:effectLst/>
          </c:spPr>
          <c:marker>
            <c:symbol val="triangle"/>
            <c:size val="8"/>
            <c:spPr>
              <a:solidFill>
                <a:srgbClr val="00B050"/>
              </a:solidFill>
              <a:ln w="9525">
                <a:solidFill>
                  <a:srgbClr val="00B0F0"/>
                </a:solidFill>
              </a:ln>
              <a:effectLst/>
            </c:spPr>
          </c:marker>
          <c:xVal>
            <c:numRef>
              <c:f>例⑥!$O$24:$O$40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例⑥!$Q$24:$Q$40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1264-43CD-9054-486A7D16DCF3}"/>
            </c:ext>
          </c:extLst>
        </c:ser>
        <c:ser>
          <c:idx val="2"/>
          <c:order val="2"/>
          <c:tx>
            <c:strRef>
              <c:f>例⑥!$R$23</c:f>
              <c:strCache>
                <c:ptCount val="1"/>
                <c:pt idx="0">
                  <c:v>#REF!</c:v>
                </c:pt>
              </c:strCache>
            </c:strRef>
          </c:tx>
          <c:spPr>
            <a:ln w="19050" cap="rnd">
              <a:solidFill>
                <a:srgbClr val="00B0F0"/>
              </a:solidFill>
              <a:round/>
            </a:ln>
            <a:effectLst/>
          </c:spPr>
          <c:marker>
            <c:symbol val="diamond"/>
            <c:size val="8"/>
            <c:spPr>
              <a:solidFill>
                <a:srgbClr val="00B0F0"/>
              </a:solidFill>
              <a:ln w="9525">
                <a:solidFill>
                  <a:srgbClr val="00B0F0"/>
                </a:solidFill>
              </a:ln>
              <a:effectLst/>
            </c:spPr>
          </c:marker>
          <c:xVal>
            <c:numRef>
              <c:f>例⑥!$O$24:$O$40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例⑥!$R$24:$R$40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2-1264-43CD-9054-486A7D16DCF3}"/>
            </c:ext>
          </c:extLst>
        </c:ser>
        <c:ser>
          <c:idx val="3"/>
          <c:order val="3"/>
          <c:tx>
            <c:strRef>
              <c:f>例⑥!$S$23</c:f>
              <c:strCache>
                <c:ptCount val="1"/>
                <c:pt idx="0">
                  <c:v>#REF!</c:v>
                </c:pt>
              </c:strCache>
            </c:strRef>
          </c:tx>
          <c:spPr>
            <a:ln w="19050" cap="rnd">
              <a:solidFill>
                <a:schemeClr val="accent4"/>
              </a:solidFill>
              <a:round/>
            </a:ln>
            <a:effectLst/>
          </c:spPr>
          <c:marker>
            <c:symbol val="circle"/>
            <c:size val="8"/>
            <c:spPr>
              <a:solidFill>
                <a:srgbClr val="FFC000"/>
              </a:solidFill>
              <a:ln w="9525">
                <a:noFill/>
              </a:ln>
              <a:effectLst/>
            </c:spPr>
          </c:marker>
          <c:xVal>
            <c:numRef>
              <c:f>例⑥!$O$24:$O$40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例⑥!$S$24:$S$40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3-1264-43CD-9054-486A7D16DCF3}"/>
            </c:ext>
          </c:extLst>
        </c:ser>
        <c:ser>
          <c:idx val="4"/>
          <c:order val="4"/>
          <c:tx>
            <c:strRef>
              <c:f>例⑥!$T$23</c:f>
              <c:strCache>
                <c:ptCount val="1"/>
                <c:pt idx="0">
                  <c:v>合計</c:v>
                </c:pt>
              </c:strCache>
            </c:strRef>
          </c:tx>
          <c:spPr>
            <a:ln w="19050" cap="rnd">
              <a:solidFill>
                <a:srgbClr val="C00000"/>
              </a:solidFill>
              <a:round/>
            </a:ln>
            <a:effectLst/>
          </c:spPr>
          <c:marker>
            <c:symbol val="circle"/>
            <c:size val="8"/>
            <c:spPr>
              <a:solidFill>
                <a:schemeClr val="bg1"/>
              </a:solidFill>
              <a:ln w="15875">
                <a:solidFill>
                  <a:srgbClr val="C00000"/>
                </a:solidFill>
              </a:ln>
              <a:effectLst/>
            </c:spPr>
          </c:marker>
          <c:xVal>
            <c:numRef>
              <c:f>例⑥!$O$24:$O$40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例⑥!$T$24:$T$40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4-1264-43CD-9054-486A7D16DCF3}"/>
            </c:ext>
          </c:extLst>
        </c:ser>
        <c:dLbls>
          <c:showLegendKey val="0"/>
          <c:showVal val="0"/>
          <c:showCatName val="0"/>
          <c:showSerName val="0"/>
          <c:showPercent val="0"/>
          <c:showBubbleSize val="0"/>
        </c:dLbls>
        <c:axId val="1124111216"/>
        <c:axId val="1124112048"/>
      </c:scatterChart>
      <c:valAx>
        <c:axId val="1124111216"/>
        <c:scaling>
          <c:orientation val="minMax"/>
          <c:max val="2040"/>
          <c:min val="20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年度</a:t>
                </a:r>
              </a:p>
            </c:rich>
          </c:tx>
          <c:layout>
            <c:manualLayout>
              <c:xMode val="edge"/>
              <c:yMode val="edge"/>
              <c:x val="0.95384694109293278"/>
              <c:y val="0.8423620599794340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2048"/>
        <c:crosses val="autoZero"/>
        <c:crossBetween val="midCat"/>
        <c:majorUnit val="1"/>
      </c:valAx>
      <c:valAx>
        <c:axId val="112411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（万</a:t>
                </a:r>
                <a:r>
                  <a:rPr lang="en-US" altLang="ja-JP" sz="1050" b="1">
                    <a:latin typeface="ＭＳ Ｐゴシック" panose="020B0600070205080204" pitchFamily="50" charset="-128"/>
                    <a:ea typeface="ＭＳ Ｐゴシック" panose="020B0600070205080204" pitchFamily="50" charset="-128"/>
                  </a:rPr>
                  <a:t>kL/</a:t>
                </a:r>
                <a:r>
                  <a:rPr lang="ja-JP" altLang="en-US" sz="1050" b="1">
                    <a:latin typeface="ＭＳ Ｐゴシック" panose="020B0600070205080204" pitchFamily="50" charset="-128"/>
                    <a:ea typeface="ＭＳ Ｐゴシック" panose="020B0600070205080204" pitchFamily="50" charset="-128"/>
                  </a:rPr>
                  <a:t>年）</a:t>
                </a:r>
              </a:p>
            </c:rich>
          </c:tx>
          <c:layout>
            <c:manualLayout>
              <c:xMode val="edge"/>
              <c:yMode val="edge"/>
              <c:x val="1.4603870025556773E-2"/>
              <c:y val="2.5140730867293033E-2"/>
            </c:manualLayout>
          </c:layout>
          <c:overlay val="0"/>
          <c:spPr>
            <a:noFill/>
            <a:ln>
              <a:noFill/>
            </a:ln>
            <a:effectLst/>
          </c:spPr>
          <c:txPr>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1216"/>
        <c:crosses val="autoZero"/>
        <c:crossBetween val="midCat"/>
      </c:valAx>
      <c:spPr>
        <a:noFill/>
        <a:ln>
          <a:solidFill>
            <a:schemeClr val="tx1"/>
          </a:solidFill>
        </a:ln>
        <a:effectLst/>
      </c:spPr>
    </c:plotArea>
    <c:legend>
      <c:legendPos val="b"/>
      <c:layout>
        <c:manualLayout>
          <c:xMode val="edge"/>
          <c:yMode val="edge"/>
          <c:x val="5.7555116672847448E-2"/>
          <c:y val="0.864724049527405"/>
          <c:w val="0.88488965166320255"/>
          <c:h val="0.1240949556986096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ja-JP" sz="1050" b="1" i="0" baseline="0">
                <a:effectLst/>
                <a:latin typeface="ＭＳ Ｐゴシック" panose="020B0600070205080204" pitchFamily="50" charset="-128"/>
                <a:ea typeface="ＭＳ Ｐゴシック" panose="020B0600070205080204" pitchFamily="50" charset="-128"/>
              </a:rPr>
              <a:t>省エネ効果量積算値</a:t>
            </a:r>
            <a:r>
              <a:rPr lang="en-US" altLang="ja-JP" sz="1050" b="1" i="0" baseline="0">
                <a:effectLst/>
                <a:latin typeface="ＭＳ Ｐゴシック" panose="020B0600070205080204" pitchFamily="50" charset="-128"/>
                <a:ea typeface="ＭＳ Ｐゴシック" panose="020B0600070205080204" pitchFamily="50" charset="-128"/>
              </a:rPr>
              <a:t>(</a:t>
            </a:r>
            <a:r>
              <a:rPr lang="ja-JP" altLang="en-US" sz="1050" b="1" i="0" baseline="0">
                <a:effectLst/>
                <a:latin typeface="ＭＳ Ｐゴシック" panose="020B0600070205080204" pitchFamily="50" charset="-128"/>
                <a:ea typeface="ＭＳ Ｐゴシック" panose="020B0600070205080204" pitchFamily="50" charset="-128"/>
              </a:rPr>
              <a:t>国内</a:t>
            </a:r>
            <a:r>
              <a:rPr lang="en-US" altLang="ja-JP" sz="1050" b="1" i="0" baseline="0">
                <a:effectLst/>
                <a:latin typeface="ＭＳ Ｐゴシック" panose="020B0600070205080204" pitchFamily="50" charset="-128"/>
                <a:ea typeface="ＭＳ Ｐゴシック" panose="020B0600070205080204" pitchFamily="50" charset="-128"/>
              </a:rPr>
              <a:t>)</a:t>
            </a:r>
            <a:endParaRPr lang="ja-JP" altLang="ja-JP" sz="1050" b="1">
              <a:effectLst/>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ltLang="ja-JP"/>
        </a:p>
      </c:txPr>
    </c:title>
    <c:autoTitleDeleted val="0"/>
    <c:plotArea>
      <c:layout>
        <c:manualLayout>
          <c:layoutTarget val="inner"/>
          <c:xMode val="edge"/>
          <c:yMode val="edge"/>
          <c:x val="6.0056058162499683E-2"/>
          <c:y val="0.1055370099432396"/>
          <c:w val="0.9084287903223488"/>
          <c:h val="0.68087333868916966"/>
        </c:manualLayout>
      </c:layout>
      <c:scatterChart>
        <c:scatterStyle val="lineMarker"/>
        <c:varyColors val="0"/>
        <c:ser>
          <c:idx val="0"/>
          <c:order val="0"/>
          <c:tx>
            <c:strRef>
              <c:f>例⑦!$P$23</c:f>
              <c:strCache>
                <c:ptCount val="1"/>
                <c:pt idx="0">
                  <c:v>大型有機ELテレビの技術開発</c:v>
                </c:pt>
              </c:strCache>
            </c:strRef>
          </c:tx>
          <c:spPr>
            <a:ln w="19050" cap="rnd">
              <a:solidFill>
                <a:schemeClr val="accent1"/>
              </a:solidFill>
              <a:round/>
            </a:ln>
            <a:effectLst/>
          </c:spPr>
          <c:marker>
            <c:symbol val="square"/>
            <c:size val="8"/>
            <c:spPr>
              <a:solidFill>
                <a:srgbClr val="0000FF"/>
              </a:solidFill>
              <a:ln w="9525">
                <a:noFill/>
              </a:ln>
              <a:effectLst/>
            </c:spPr>
          </c:marker>
          <c:xVal>
            <c:numRef>
              <c:f>例⑦!$O$24:$O$40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例⑦!$P$24:$P$40</c:f>
              <c:numCache>
                <c:formatCode>0.000</c:formatCode>
                <c:ptCount val="17"/>
                <c:pt idx="0">
                  <c:v>0</c:v>
                </c:pt>
                <c:pt idx="1">
                  <c:v>0</c:v>
                </c:pt>
                <c:pt idx="2">
                  <c:v>8.9376566399999996E-2</c:v>
                </c:pt>
                <c:pt idx="3">
                  <c:v>0.26812969920000002</c:v>
                </c:pt>
                <c:pt idx="4">
                  <c:v>0.61913585087999978</c:v>
                </c:pt>
                <c:pt idx="5">
                  <c:v>1.0517184322559998</c:v>
                </c:pt>
                <c:pt idx="6">
                  <c:v>1.592446658976</c:v>
                </c:pt>
                <c:pt idx="7">
                  <c:v>2.3062079182463999</c:v>
                </c:pt>
                <c:pt idx="8">
                  <c:v>3.117516549617088</c:v>
                </c:pt>
                <c:pt idx="9">
                  <c:v>4.0387444149154179</c:v>
                </c:pt>
                <c:pt idx="10">
                  <c:v>5.0837622746132114</c:v>
                </c:pt>
                <c:pt idx="11">
                  <c:v>6.2437320988777616</c:v>
                </c:pt>
                <c:pt idx="12">
                  <c:v>7.4303223391687672</c:v>
                </c:pt>
                <c:pt idx="13">
                  <c:v>8.6551326937288753</c:v>
                </c:pt>
                <c:pt idx="14">
                  <c:v>9.8480463781449892</c:v>
                </c:pt>
                <c:pt idx="15">
                  <c:v>11.113775616474719</c:v>
                </c:pt>
                <c:pt idx="16">
                  <c:v>12.441190391431022</c:v>
                </c:pt>
              </c:numCache>
            </c:numRef>
          </c:yVal>
          <c:smooth val="0"/>
          <c:extLst>
            <c:ext xmlns:c16="http://schemas.microsoft.com/office/drawing/2014/chart" uri="{C3380CC4-5D6E-409C-BE32-E72D297353CC}">
              <c16:uniqueId val="{00000000-3168-4A75-812B-598660CDEAE8}"/>
            </c:ext>
          </c:extLst>
        </c:ser>
        <c:ser>
          <c:idx val="1"/>
          <c:order val="1"/>
          <c:tx>
            <c:strRef>
              <c:f>例⑦!$Q$23</c:f>
              <c:strCache>
                <c:ptCount val="1"/>
                <c:pt idx="0">
                  <c:v>#REF!</c:v>
                </c:pt>
              </c:strCache>
            </c:strRef>
          </c:tx>
          <c:spPr>
            <a:ln w="19050" cap="rnd">
              <a:solidFill>
                <a:srgbClr val="00B050"/>
              </a:solidFill>
              <a:round/>
            </a:ln>
            <a:effectLst/>
          </c:spPr>
          <c:marker>
            <c:symbol val="triangle"/>
            <c:size val="8"/>
            <c:spPr>
              <a:solidFill>
                <a:srgbClr val="00B050"/>
              </a:solidFill>
              <a:ln w="9525">
                <a:noFill/>
              </a:ln>
              <a:effectLst/>
            </c:spPr>
          </c:marker>
          <c:xVal>
            <c:numRef>
              <c:f>例⑦!$O$24:$O$40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例⑦!$Q$24:$Q$40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3168-4A75-812B-598660CDEAE8}"/>
            </c:ext>
          </c:extLst>
        </c:ser>
        <c:ser>
          <c:idx val="2"/>
          <c:order val="2"/>
          <c:tx>
            <c:strRef>
              <c:f>例⑦!$R$23</c:f>
              <c:strCache>
                <c:ptCount val="1"/>
                <c:pt idx="0">
                  <c:v>#REF!</c:v>
                </c:pt>
              </c:strCache>
            </c:strRef>
          </c:tx>
          <c:spPr>
            <a:ln w="19050" cap="rnd">
              <a:solidFill>
                <a:srgbClr val="00B0F0"/>
              </a:solidFill>
              <a:round/>
            </a:ln>
            <a:effectLst/>
          </c:spPr>
          <c:marker>
            <c:symbol val="diamond"/>
            <c:size val="8"/>
            <c:spPr>
              <a:solidFill>
                <a:srgbClr val="00B0F0"/>
              </a:solidFill>
              <a:ln w="9525">
                <a:noFill/>
              </a:ln>
              <a:effectLst/>
            </c:spPr>
          </c:marker>
          <c:xVal>
            <c:numRef>
              <c:f>例⑦!$O$24:$O$40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例⑦!$R$24:$R$40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2-3168-4A75-812B-598660CDEAE8}"/>
            </c:ext>
          </c:extLst>
        </c:ser>
        <c:ser>
          <c:idx val="3"/>
          <c:order val="3"/>
          <c:tx>
            <c:strRef>
              <c:f>例⑦!$S$23</c:f>
              <c:strCache>
                <c:ptCount val="1"/>
                <c:pt idx="0">
                  <c:v>#REF!</c:v>
                </c:pt>
              </c:strCache>
            </c:strRef>
          </c:tx>
          <c:spPr>
            <a:ln w="19050" cap="rnd">
              <a:solidFill>
                <a:schemeClr val="accent4"/>
              </a:solidFill>
              <a:round/>
            </a:ln>
            <a:effectLst/>
          </c:spPr>
          <c:marker>
            <c:symbol val="circle"/>
            <c:size val="8"/>
            <c:spPr>
              <a:solidFill>
                <a:srgbClr val="FFC000"/>
              </a:solidFill>
              <a:ln w="9525">
                <a:noFill/>
              </a:ln>
              <a:effectLst/>
            </c:spPr>
          </c:marker>
          <c:xVal>
            <c:numRef>
              <c:f>例⑦!$O$24:$O$40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例⑦!$S$24:$S$40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3-3168-4A75-812B-598660CDEAE8}"/>
            </c:ext>
          </c:extLst>
        </c:ser>
        <c:ser>
          <c:idx val="4"/>
          <c:order val="4"/>
          <c:tx>
            <c:strRef>
              <c:f>例⑦!$T$23</c:f>
              <c:strCache>
                <c:ptCount val="1"/>
                <c:pt idx="0">
                  <c:v>合計</c:v>
                </c:pt>
              </c:strCache>
            </c:strRef>
          </c:tx>
          <c:spPr>
            <a:ln w="19050" cap="rnd">
              <a:solidFill>
                <a:srgbClr val="C00000"/>
              </a:solidFill>
              <a:round/>
            </a:ln>
            <a:effectLst/>
          </c:spPr>
          <c:marker>
            <c:symbol val="circle"/>
            <c:size val="8"/>
            <c:spPr>
              <a:solidFill>
                <a:schemeClr val="bg1"/>
              </a:solidFill>
              <a:ln w="15875">
                <a:solidFill>
                  <a:srgbClr val="C00000"/>
                </a:solidFill>
              </a:ln>
              <a:effectLst/>
            </c:spPr>
          </c:marker>
          <c:xVal>
            <c:numRef>
              <c:f>例⑦!$O$24:$O$40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例⑦!$T$24:$T$40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4-3168-4A75-812B-598660CDEAE8}"/>
            </c:ext>
          </c:extLst>
        </c:ser>
        <c:dLbls>
          <c:showLegendKey val="0"/>
          <c:showVal val="0"/>
          <c:showCatName val="0"/>
          <c:showSerName val="0"/>
          <c:showPercent val="0"/>
          <c:showBubbleSize val="0"/>
        </c:dLbls>
        <c:axId val="1124111216"/>
        <c:axId val="1124112048"/>
      </c:scatterChart>
      <c:valAx>
        <c:axId val="1124111216"/>
        <c:scaling>
          <c:orientation val="minMax"/>
          <c:max val="2040"/>
          <c:min val="20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年度</a:t>
                </a:r>
              </a:p>
            </c:rich>
          </c:tx>
          <c:layout>
            <c:manualLayout>
              <c:xMode val="edge"/>
              <c:yMode val="edge"/>
              <c:x val="0.95384694109293278"/>
              <c:y val="0.8423620599794340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2048"/>
        <c:crosses val="autoZero"/>
        <c:crossBetween val="midCat"/>
        <c:majorUnit val="1"/>
      </c:valAx>
      <c:valAx>
        <c:axId val="112411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（万</a:t>
                </a:r>
                <a:r>
                  <a:rPr lang="en-US" altLang="ja-JP" sz="1050" b="1">
                    <a:latin typeface="ＭＳ Ｐゴシック" panose="020B0600070205080204" pitchFamily="50" charset="-128"/>
                    <a:ea typeface="ＭＳ Ｐゴシック" panose="020B0600070205080204" pitchFamily="50" charset="-128"/>
                  </a:rPr>
                  <a:t>kL/</a:t>
                </a:r>
                <a:r>
                  <a:rPr lang="ja-JP" altLang="en-US" sz="1050" b="1">
                    <a:latin typeface="ＭＳ Ｐゴシック" panose="020B0600070205080204" pitchFamily="50" charset="-128"/>
                    <a:ea typeface="ＭＳ Ｐゴシック" panose="020B0600070205080204" pitchFamily="50" charset="-128"/>
                  </a:rPr>
                  <a:t>年）</a:t>
                </a:r>
              </a:p>
            </c:rich>
          </c:tx>
          <c:layout>
            <c:manualLayout>
              <c:xMode val="edge"/>
              <c:yMode val="edge"/>
              <c:x val="1.4603870025556773E-2"/>
              <c:y val="2.5140730867293033E-2"/>
            </c:manualLayout>
          </c:layout>
          <c:overlay val="0"/>
          <c:spPr>
            <a:noFill/>
            <a:ln>
              <a:noFill/>
            </a:ln>
            <a:effectLst/>
          </c:spPr>
          <c:txPr>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1216"/>
        <c:crosses val="autoZero"/>
        <c:crossBetween val="midCat"/>
      </c:valAx>
      <c:spPr>
        <a:noFill/>
        <a:ln>
          <a:solidFill>
            <a:schemeClr val="tx1"/>
          </a:solidFill>
        </a:ln>
        <a:effectLst/>
      </c:spPr>
    </c:plotArea>
    <c:legend>
      <c:legendPos val="b"/>
      <c:layout>
        <c:manualLayout>
          <c:xMode val="edge"/>
          <c:yMode val="edge"/>
          <c:x val="5.7555116672847448E-2"/>
          <c:y val="0.864724049527405"/>
          <c:w val="0.88488965166320255"/>
          <c:h val="0.1240949556986096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ja-JP" sz="1050" b="1" i="0" baseline="0">
                <a:effectLst/>
                <a:latin typeface="ＭＳ Ｐゴシック" panose="020B0600070205080204" pitchFamily="50" charset="-128"/>
                <a:ea typeface="ＭＳ Ｐゴシック" panose="020B0600070205080204" pitchFamily="50" charset="-128"/>
              </a:rPr>
              <a:t>省エネ効果量積算値</a:t>
            </a:r>
            <a:r>
              <a:rPr lang="en-US" altLang="ja-JP" sz="1050" b="1" i="0" baseline="0">
                <a:effectLst/>
                <a:latin typeface="ＭＳ Ｐゴシック" panose="020B0600070205080204" pitchFamily="50" charset="-128"/>
                <a:ea typeface="ＭＳ Ｐゴシック" panose="020B0600070205080204" pitchFamily="50" charset="-128"/>
              </a:rPr>
              <a:t>(</a:t>
            </a:r>
            <a:r>
              <a:rPr lang="ja-JP" altLang="en-US" sz="1050" b="1" i="0" baseline="0">
                <a:effectLst/>
                <a:latin typeface="ＭＳ Ｐゴシック" panose="020B0600070205080204" pitchFamily="50" charset="-128"/>
                <a:ea typeface="ＭＳ Ｐゴシック" panose="020B0600070205080204" pitchFamily="50" charset="-128"/>
              </a:rPr>
              <a:t>国内</a:t>
            </a:r>
            <a:r>
              <a:rPr lang="en-US" altLang="ja-JP" sz="1050" b="1" i="0" baseline="0">
                <a:effectLst/>
                <a:latin typeface="ＭＳ Ｐゴシック" panose="020B0600070205080204" pitchFamily="50" charset="-128"/>
                <a:ea typeface="ＭＳ Ｐゴシック" panose="020B0600070205080204" pitchFamily="50" charset="-128"/>
              </a:rPr>
              <a:t>)</a:t>
            </a:r>
            <a:endParaRPr lang="ja-JP" altLang="ja-JP" sz="1050" b="1">
              <a:effectLst/>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ltLang="ja-JP"/>
        </a:p>
      </c:txPr>
    </c:title>
    <c:autoTitleDeleted val="0"/>
    <c:plotArea>
      <c:layout>
        <c:manualLayout>
          <c:layoutTarget val="inner"/>
          <c:xMode val="edge"/>
          <c:yMode val="edge"/>
          <c:x val="6.0056058162499683E-2"/>
          <c:y val="0.1055370099432396"/>
          <c:w val="0.9084287903223488"/>
          <c:h val="0.68087333868916966"/>
        </c:manualLayout>
      </c:layout>
      <c:scatterChart>
        <c:scatterStyle val="lineMarker"/>
        <c:varyColors val="0"/>
        <c:ser>
          <c:idx val="0"/>
          <c:order val="0"/>
          <c:tx>
            <c:strRef>
              <c:f>例⑧!$P$23</c:f>
              <c:strCache>
                <c:ptCount val="1"/>
                <c:pt idx="0">
                  <c:v>高効率ガスタービン</c:v>
                </c:pt>
              </c:strCache>
            </c:strRef>
          </c:tx>
          <c:spPr>
            <a:ln w="19050" cap="rnd">
              <a:solidFill>
                <a:schemeClr val="accent1"/>
              </a:solidFill>
              <a:round/>
            </a:ln>
            <a:effectLst/>
          </c:spPr>
          <c:marker>
            <c:symbol val="square"/>
            <c:size val="8"/>
            <c:spPr>
              <a:solidFill>
                <a:srgbClr val="0000FF"/>
              </a:solidFill>
              <a:ln w="9525">
                <a:noFill/>
              </a:ln>
              <a:effectLst/>
            </c:spPr>
          </c:marker>
          <c:xVal>
            <c:numRef>
              <c:f>例⑧!$O$24:$O$40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例⑧!$P$24:$P$40</c:f>
              <c:numCache>
                <c:formatCode>0.000</c:formatCode>
                <c:ptCount val="17"/>
                <c:pt idx="0">
                  <c:v>0</c:v>
                </c:pt>
                <c:pt idx="1">
                  <c:v>0</c:v>
                </c:pt>
                <c:pt idx="2">
                  <c:v>0</c:v>
                </c:pt>
                <c:pt idx="3">
                  <c:v>0.5727165270000012</c:v>
                </c:pt>
                <c:pt idx="4">
                  <c:v>1.1454330540000024</c:v>
                </c:pt>
                <c:pt idx="5">
                  <c:v>1.7181495810000036</c:v>
                </c:pt>
                <c:pt idx="6">
                  <c:v>2.2908661080000048</c:v>
                </c:pt>
                <c:pt idx="7">
                  <c:v>2.863582635000006</c:v>
                </c:pt>
                <c:pt idx="8">
                  <c:v>4.0090156890000088</c:v>
                </c:pt>
                <c:pt idx="9">
                  <c:v>5.1544487430000112</c:v>
                </c:pt>
                <c:pt idx="10">
                  <c:v>6.2998817970000136</c:v>
                </c:pt>
                <c:pt idx="11">
                  <c:v>7.445314851000016</c:v>
                </c:pt>
                <c:pt idx="12">
                  <c:v>9.1634644320000191</c:v>
                </c:pt>
                <c:pt idx="13">
                  <c:v>10.881614013000023</c:v>
                </c:pt>
                <c:pt idx="14">
                  <c:v>12.599763594000027</c:v>
                </c:pt>
                <c:pt idx="15">
                  <c:v>14.890629702000032</c:v>
                </c:pt>
                <c:pt idx="16">
                  <c:v>17.181495810000037</c:v>
                </c:pt>
              </c:numCache>
            </c:numRef>
          </c:yVal>
          <c:smooth val="0"/>
          <c:extLst>
            <c:ext xmlns:c16="http://schemas.microsoft.com/office/drawing/2014/chart" uri="{C3380CC4-5D6E-409C-BE32-E72D297353CC}">
              <c16:uniqueId val="{00000000-AC01-4E4B-B768-EB1B7EB8CCC0}"/>
            </c:ext>
          </c:extLst>
        </c:ser>
        <c:ser>
          <c:idx val="1"/>
          <c:order val="1"/>
          <c:tx>
            <c:strRef>
              <c:f>例⑧!$Q$23</c:f>
              <c:strCache>
                <c:ptCount val="1"/>
                <c:pt idx="0">
                  <c:v>#REF!</c:v>
                </c:pt>
              </c:strCache>
            </c:strRef>
          </c:tx>
          <c:spPr>
            <a:ln w="19050" cap="rnd">
              <a:solidFill>
                <a:srgbClr val="00B050"/>
              </a:solidFill>
              <a:round/>
            </a:ln>
            <a:effectLst/>
          </c:spPr>
          <c:marker>
            <c:symbol val="triangle"/>
            <c:size val="8"/>
            <c:spPr>
              <a:solidFill>
                <a:srgbClr val="00B050"/>
              </a:solidFill>
              <a:ln w="9525">
                <a:noFill/>
              </a:ln>
              <a:effectLst/>
            </c:spPr>
          </c:marker>
          <c:xVal>
            <c:numRef>
              <c:f>例⑧!$O$24:$O$40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例⑧!$Q$24:$Q$40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AC01-4E4B-B768-EB1B7EB8CCC0}"/>
            </c:ext>
          </c:extLst>
        </c:ser>
        <c:ser>
          <c:idx val="2"/>
          <c:order val="2"/>
          <c:tx>
            <c:strRef>
              <c:f>例⑧!$R$23</c:f>
              <c:strCache>
                <c:ptCount val="1"/>
                <c:pt idx="0">
                  <c:v>#REF!</c:v>
                </c:pt>
              </c:strCache>
            </c:strRef>
          </c:tx>
          <c:spPr>
            <a:ln w="19050" cap="rnd">
              <a:solidFill>
                <a:srgbClr val="00B0F0"/>
              </a:solidFill>
              <a:round/>
            </a:ln>
            <a:effectLst/>
          </c:spPr>
          <c:marker>
            <c:symbol val="diamond"/>
            <c:size val="8"/>
            <c:spPr>
              <a:solidFill>
                <a:srgbClr val="00B0F0"/>
              </a:solidFill>
              <a:ln w="9525">
                <a:noFill/>
              </a:ln>
              <a:effectLst/>
            </c:spPr>
          </c:marker>
          <c:xVal>
            <c:numRef>
              <c:f>例⑧!$O$24:$O$40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例⑧!$R$24:$R$40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2-AC01-4E4B-B768-EB1B7EB8CCC0}"/>
            </c:ext>
          </c:extLst>
        </c:ser>
        <c:ser>
          <c:idx val="3"/>
          <c:order val="3"/>
          <c:tx>
            <c:strRef>
              <c:f>例⑧!$S$23</c:f>
              <c:strCache>
                <c:ptCount val="1"/>
                <c:pt idx="0">
                  <c:v>#REF!</c:v>
                </c:pt>
              </c:strCache>
            </c:strRef>
          </c:tx>
          <c:spPr>
            <a:ln w="19050" cap="rnd">
              <a:solidFill>
                <a:schemeClr val="accent4"/>
              </a:solidFill>
              <a:round/>
            </a:ln>
            <a:effectLst/>
          </c:spPr>
          <c:marker>
            <c:symbol val="circle"/>
            <c:size val="8"/>
            <c:spPr>
              <a:solidFill>
                <a:srgbClr val="FFC000"/>
              </a:solidFill>
              <a:ln w="9525">
                <a:noFill/>
              </a:ln>
              <a:effectLst/>
            </c:spPr>
          </c:marker>
          <c:xVal>
            <c:numRef>
              <c:f>例⑧!$O$24:$O$40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例⑧!$S$24:$S$40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3-AC01-4E4B-B768-EB1B7EB8CCC0}"/>
            </c:ext>
          </c:extLst>
        </c:ser>
        <c:ser>
          <c:idx val="4"/>
          <c:order val="4"/>
          <c:tx>
            <c:strRef>
              <c:f>例⑧!$T$23</c:f>
              <c:strCache>
                <c:ptCount val="1"/>
                <c:pt idx="0">
                  <c:v>合計</c:v>
                </c:pt>
              </c:strCache>
            </c:strRef>
          </c:tx>
          <c:spPr>
            <a:ln w="19050" cap="rnd">
              <a:solidFill>
                <a:srgbClr val="C00000"/>
              </a:solidFill>
              <a:round/>
            </a:ln>
            <a:effectLst/>
          </c:spPr>
          <c:marker>
            <c:symbol val="circle"/>
            <c:size val="8"/>
            <c:spPr>
              <a:solidFill>
                <a:schemeClr val="bg1"/>
              </a:solidFill>
              <a:ln w="15875">
                <a:solidFill>
                  <a:srgbClr val="C00000"/>
                </a:solidFill>
              </a:ln>
              <a:effectLst/>
            </c:spPr>
          </c:marker>
          <c:xVal>
            <c:numRef>
              <c:f>例⑧!$O$24:$O$40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例⑧!$T$24:$T$40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4-AC01-4E4B-B768-EB1B7EB8CCC0}"/>
            </c:ext>
          </c:extLst>
        </c:ser>
        <c:dLbls>
          <c:showLegendKey val="0"/>
          <c:showVal val="0"/>
          <c:showCatName val="0"/>
          <c:showSerName val="0"/>
          <c:showPercent val="0"/>
          <c:showBubbleSize val="0"/>
        </c:dLbls>
        <c:axId val="1124111216"/>
        <c:axId val="1124112048"/>
      </c:scatterChart>
      <c:valAx>
        <c:axId val="1124111216"/>
        <c:scaling>
          <c:orientation val="minMax"/>
          <c:max val="2040"/>
          <c:min val="20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年度</a:t>
                </a:r>
              </a:p>
            </c:rich>
          </c:tx>
          <c:layout>
            <c:manualLayout>
              <c:xMode val="edge"/>
              <c:yMode val="edge"/>
              <c:x val="0.95384694109293278"/>
              <c:y val="0.8423620599794340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2048"/>
        <c:crosses val="autoZero"/>
        <c:crossBetween val="midCat"/>
        <c:majorUnit val="1"/>
      </c:valAx>
      <c:valAx>
        <c:axId val="112411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（万</a:t>
                </a:r>
                <a:r>
                  <a:rPr lang="en-US" altLang="ja-JP" sz="1050" b="1">
                    <a:latin typeface="ＭＳ Ｐゴシック" panose="020B0600070205080204" pitchFamily="50" charset="-128"/>
                    <a:ea typeface="ＭＳ Ｐゴシック" panose="020B0600070205080204" pitchFamily="50" charset="-128"/>
                  </a:rPr>
                  <a:t>kL/</a:t>
                </a:r>
                <a:r>
                  <a:rPr lang="ja-JP" altLang="en-US" sz="1050" b="1">
                    <a:latin typeface="ＭＳ Ｐゴシック" panose="020B0600070205080204" pitchFamily="50" charset="-128"/>
                    <a:ea typeface="ＭＳ Ｐゴシック" panose="020B0600070205080204" pitchFamily="50" charset="-128"/>
                  </a:rPr>
                  <a:t>年）</a:t>
                </a:r>
              </a:p>
            </c:rich>
          </c:tx>
          <c:layout>
            <c:manualLayout>
              <c:xMode val="edge"/>
              <c:yMode val="edge"/>
              <c:x val="1.4603870025556773E-2"/>
              <c:y val="2.5140730867293033E-2"/>
            </c:manualLayout>
          </c:layout>
          <c:overlay val="0"/>
          <c:spPr>
            <a:noFill/>
            <a:ln>
              <a:noFill/>
            </a:ln>
            <a:effectLst/>
          </c:spPr>
          <c:txPr>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1216"/>
        <c:crosses val="autoZero"/>
        <c:crossBetween val="midCat"/>
      </c:valAx>
      <c:spPr>
        <a:noFill/>
        <a:ln>
          <a:solidFill>
            <a:schemeClr val="tx1"/>
          </a:solidFill>
        </a:ln>
        <a:effectLst/>
      </c:spPr>
    </c:plotArea>
    <c:legend>
      <c:legendPos val="b"/>
      <c:layout>
        <c:manualLayout>
          <c:xMode val="edge"/>
          <c:yMode val="edge"/>
          <c:x val="5.7555116672847448E-2"/>
          <c:y val="0.864724049527405"/>
          <c:w val="0.88488965166320255"/>
          <c:h val="0.1240949556986096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ja-JP" sz="1050" b="1" i="0" baseline="0">
                <a:effectLst/>
                <a:latin typeface="ＭＳ Ｐゴシック" panose="020B0600070205080204" pitchFamily="50" charset="-128"/>
                <a:ea typeface="ＭＳ Ｐゴシック" panose="020B0600070205080204" pitchFamily="50" charset="-128"/>
              </a:rPr>
              <a:t>省エネ効果量積算値</a:t>
            </a:r>
            <a:r>
              <a:rPr lang="en-US" altLang="ja-JP" sz="1050" b="1" i="0" baseline="0">
                <a:effectLst/>
                <a:latin typeface="ＭＳ Ｐゴシック" panose="020B0600070205080204" pitchFamily="50" charset="-128"/>
                <a:ea typeface="ＭＳ Ｐゴシック" panose="020B0600070205080204" pitchFamily="50" charset="-128"/>
              </a:rPr>
              <a:t>(</a:t>
            </a:r>
            <a:r>
              <a:rPr lang="ja-JP" altLang="en-US" sz="1050" b="1" i="0" baseline="0">
                <a:effectLst/>
                <a:latin typeface="ＭＳ Ｐゴシック" panose="020B0600070205080204" pitchFamily="50" charset="-128"/>
                <a:ea typeface="ＭＳ Ｐゴシック" panose="020B0600070205080204" pitchFamily="50" charset="-128"/>
              </a:rPr>
              <a:t>国内</a:t>
            </a:r>
            <a:r>
              <a:rPr lang="en-US" altLang="ja-JP" sz="1050" b="1" i="0" baseline="0">
                <a:effectLst/>
                <a:latin typeface="ＭＳ Ｐゴシック" panose="020B0600070205080204" pitchFamily="50" charset="-128"/>
                <a:ea typeface="ＭＳ Ｐゴシック" panose="020B0600070205080204" pitchFamily="50" charset="-128"/>
              </a:rPr>
              <a:t>)</a:t>
            </a:r>
            <a:endParaRPr lang="ja-JP" altLang="ja-JP" sz="1050" b="1">
              <a:effectLst/>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ltLang="ja-JP"/>
        </a:p>
      </c:txPr>
    </c:title>
    <c:autoTitleDeleted val="0"/>
    <c:plotArea>
      <c:layout>
        <c:manualLayout>
          <c:layoutTarget val="inner"/>
          <c:xMode val="edge"/>
          <c:yMode val="edge"/>
          <c:x val="6.0056058162499683E-2"/>
          <c:y val="0.1055370099432396"/>
          <c:w val="0.9084287903223488"/>
          <c:h val="0.68087333868916966"/>
        </c:manualLayout>
      </c:layout>
      <c:scatterChart>
        <c:scatterStyle val="lineMarker"/>
        <c:varyColors val="0"/>
        <c:ser>
          <c:idx val="0"/>
          <c:order val="0"/>
          <c:tx>
            <c:strRef>
              <c:f>例⑨!$P$23</c:f>
              <c:strCache>
                <c:ptCount val="1"/>
                <c:pt idx="0">
                  <c:v>家庭用小型ヒートポンプ給湯器</c:v>
                </c:pt>
              </c:strCache>
            </c:strRef>
          </c:tx>
          <c:spPr>
            <a:ln w="19050" cap="rnd">
              <a:solidFill>
                <a:schemeClr val="accent1"/>
              </a:solidFill>
              <a:round/>
            </a:ln>
            <a:effectLst/>
          </c:spPr>
          <c:marker>
            <c:symbol val="square"/>
            <c:size val="8"/>
            <c:spPr>
              <a:solidFill>
                <a:srgbClr val="0000FF"/>
              </a:solidFill>
              <a:ln w="9525">
                <a:noFill/>
              </a:ln>
              <a:effectLst/>
            </c:spPr>
          </c:marker>
          <c:xVal>
            <c:numRef>
              <c:f>例⑨!$O$24:$O$40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例⑨!$P$24:$P$40</c:f>
              <c:numCache>
                <c:formatCode>0.000</c:formatCode>
                <c:ptCount val="17"/>
                <c:pt idx="0">
                  <c:v>0</c:v>
                </c:pt>
                <c:pt idx="1">
                  <c:v>0</c:v>
                </c:pt>
                <c:pt idx="2">
                  <c:v>0</c:v>
                </c:pt>
                <c:pt idx="3">
                  <c:v>0</c:v>
                </c:pt>
                <c:pt idx="4">
                  <c:v>0.20898000000000003</c:v>
                </c:pt>
                <c:pt idx="5">
                  <c:v>0.62693999999999994</c:v>
                </c:pt>
                <c:pt idx="6">
                  <c:v>1.2538799999999999</c:v>
                </c:pt>
                <c:pt idx="7">
                  <c:v>2.0897999999999999</c:v>
                </c:pt>
                <c:pt idx="8">
                  <c:v>3.0929039999999999</c:v>
                </c:pt>
                <c:pt idx="9">
                  <c:v>4.2631920000000001</c:v>
                </c:pt>
                <c:pt idx="10">
                  <c:v>5.6006640000000001</c:v>
                </c:pt>
                <c:pt idx="11">
                  <c:v>7.1053199999999999</c:v>
                </c:pt>
                <c:pt idx="12">
                  <c:v>8.7771600000000003</c:v>
                </c:pt>
                <c:pt idx="13">
                  <c:v>10.449</c:v>
                </c:pt>
                <c:pt idx="14">
                  <c:v>12.120839999999999</c:v>
                </c:pt>
                <c:pt idx="15">
                  <c:v>13.792679999999999</c:v>
                </c:pt>
                <c:pt idx="16">
                  <c:v>15.464520000000002</c:v>
                </c:pt>
              </c:numCache>
            </c:numRef>
          </c:yVal>
          <c:smooth val="0"/>
          <c:extLst>
            <c:ext xmlns:c16="http://schemas.microsoft.com/office/drawing/2014/chart" uri="{C3380CC4-5D6E-409C-BE32-E72D297353CC}">
              <c16:uniqueId val="{00000000-30A0-4807-86DB-442B421E48E7}"/>
            </c:ext>
          </c:extLst>
        </c:ser>
        <c:ser>
          <c:idx val="1"/>
          <c:order val="1"/>
          <c:tx>
            <c:strRef>
              <c:f>例⑨!$Q$23</c:f>
              <c:strCache>
                <c:ptCount val="1"/>
                <c:pt idx="0">
                  <c:v>#REF!</c:v>
                </c:pt>
              </c:strCache>
            </c:strRef>
          </c:tx>
          <c:spPr>
            <a:ln w="19050" cap="rnd">
              <a:solidFill>
                <a:srgbClr val="00B050"/>
              </a:solidFill>
              <a:round/>
            </a:ln>
            <a:effectLst/>
          </c:spPr>
          <c:marker>
            <c:symbol val="triangle"/>
            <c:size val="8"/>
            <c:spPr>
              <a:solidFill>
                <a:srgbClr val="00B050"/>
              </a:solidFill>
              <a:ln w="9525">
                <a:noFill/>
              </a:ln>
              <a:effectLst/>
            </c:spPr>
          </c:marker>
          <c:xVal>
            <c:numRef>
              <c:f>例⑨!$O$24:$O$40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例⑨!$Q$24:$Q$40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30A0-4807-86DB-442B421E48E7}"/>
            </c:ext>
          </c:extLst>
        </c:ser>
        <c:ser>
          <c:idx val="2"/>
          <c:order val="2"/>
          <c:tx>
            <c:strRef>
              <c:f>例⑨!$R$23</c:f>
              <c:strCache>
                <c:ptCount val="1"/>
                <c:pt idx="0">
                  <c:v>#REF!</c:v>
                </c:pt>
              </c:strCache>
            </c:strRef>
          </c:tx>
          <c:spPr>
            <a:ln w="19050" cap="rnd">
              <a:solidFill>
                <a:srgbClr val="00B0F0"/>
              </a:solidFill>
              <a:round/>
            </a:ln>
            <a:effectLst/>
          </c:spPr>
          <c:marker>
            <c:symbol val="diamond"/>
            <c:size val="8"/>
            <c:spPr>
              <a:solidFill>
                <a:srgbClr val="00B0F0"/>
              </a:solidFill>
              <a:ln w="9525">
                <a:noFill/>
              </a:ln>
              <a:effectLst/>
            </c:spPr>
          </c:marker>
          <c:xVal>
            <c:numRef>
              <c:f>例⑨!$O$24:$O$40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例⑨!$R$24:$R$40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2-30A0-4807-86DB-442B421E48E7}"/>
            </c:ext>
          </c:extLst>
        </c:ser>
        <c:ser>
          <c:idx val="3"/>
          <c:order val="3"/>
          <c:tx>
            <c:strRef>
              <c:f>例⑨!$S$23</c:f>
              <c:strCache>
                <c:ptCount val="1"/>
                <c:pt idx="0">
                  <c:v>#REF!</c:v>
                </c:pt>
              </c:strCache>
            </c:strRef>
          </c:tx>
          <c:spPr>
            <a:ln w="19050" cap="rnd">
              <a:solidFill>
                <a:schemeClr val="accent4"/>
              </a:solidFill>
              <a:round/>
            </a:ln>
            <a:effectLst/>
          </c:spPr>
          <c:marker>
            <c:symbol val="circle"/>
            <c:size val="8"/>
            <c:spPr>
              <a:solidFill>
                <a:srgbClr val="FFC000"/>
              </a:solidFill>
              <a:ln w="9525">
                <a:noFill/>
              </a:ln>
              <a:effectLst/>
            </c:spPr>
          </c:marker>
          <c:xVal>
            <c:numRef>
              <c:f>例⑨!$O$24:$O$40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例⑨!$S$24:$S$40</c:f>
              <c:numCache>
                <c:formatCode>0.000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3-30A0-4807-86DB-442B421E48E7}"/>
            </c:ext>
          </c:extLst>
        </c:ser>
        <c:ser>
          <c:idx val="4"/>
          <c:order val="4"/>
          <c:tx>
            <c:strRef>
              <c:f>例⑨!$T$23</c:f>
              <c:strCache>
                <c:ptCount val="1"/>
                <c:pt idx="0">
                  <c:v>合計</c:v>
                </c:pt>
              </c:strCache>
            </c:strRef>
          </c:tx>
          <c:spPr>
            <a:ln w="19050" cap="rnd">
              <a:solidFill>
                <a:srgbClr val="C00000"/>
              </a:solidFill>
              <a:round/>
            </a:ln>
            <a:effectLst/>
          </c:spPr>
          <c:marker>
            <c:symbol val="circle"/>
            <c:size val="8"/>
            <c:spPr>
              <a:solidFill>
                <a:schemeClr val="bg1"/>
              </a:solidFill>
              <a:ln w="15875">
                <a:solidFill>
                  <a:srgbClr val="C00000"/>
                </a:solidFill>
              </a:ln>
              <a:effectLst/>
            </c:spPr>
          </c:marker>
          <c:xVal>
            <c:numRef>
              <c:f>例⑨!$O$24:$O$40</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numCache>
            </c:numRef>
          </c:xVal>
          <c:yVal>
            <c:numRef>
              <c:f>例⑨!$T$24:$T$40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4-30A0-4807-86DB-442B421E48E7}"/>
            </c:ext>
          </c:extLst>
        </c:ser>
        <c:dLbls>
          <c:showLegendKey val="0"/>
          <c:showVal val="0"/>
          <c:showCatName val="0"/>
          <c:showSerName val="0"/>
          <c:showPercent val="0"/>
          <c:showBubbleSize val="0"/>
        </c:dLbls>
        <c:axId val="1124111216"/>
        <c:axId val="1124112048"/>
      </c:scatterChart>
      <c:valAx>
        <c:axId val="1124111216"/>
        <c:scaling>
          <c:orientation val="minMax"/>
          <c:max val="2040"/>
          <c:min val="20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年度</a:t>
                </a:r>
              </a:p>
            </c:rich>
          </c:tx>
          <c:layout>
            <c:manualLayout>
              <c:xMode val="edge"/>
              <c:yMode val="edge"/>
              <c:x val="0.95384694109293278"/>
              <c:y val="0.8423620599794340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2048"/>
        <c:crosses val="autoZero"/>
        <c:crossBetween val="midCat"/>
        <c:majorUnit val="1"/>
      </c:valAx>
      <c:valAx>
        <c:axId val="112411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050" b="1">
                    <a:latin typeface="ＭＳ Ｐゴシック" panose="020B0600070205080204" pitchFamily="50" charset="-128"/>
                    <a:ea typeface="ＭＳ Ｐゴシック" panose="020B0600070205080204" pitchFamily="50" charset="-128"/>
                  </a:rPr>
                  <a:t>（万</a:t>
                </a:r>
                <a:r>
                  <a:rPr lang="en-US" altLang="ja-JP" sz="1050" b="1">
                    <a:latin typeface="ＭＳ Ｐゴシック" panose="020B0600070205080204" pitchFamily="50" charset="-128"/>
                    <a:ea typeface="ＭＳ Ｐゴシック" panose="020B0600070205080204" pitchFamily="50" charset="-128"/>
                  </a:rPr>
                  <a:t>kL/</a:t>
                </a:r>
                <a:r>
                  <a:rPr lang="ja-JP" altLang="en-US" sz="1050" b="1">
                    <a:latin typeface="ＭＳ Ｐゴシック" panose="020B0600070205080204" pitchFamily="50" charset="-128"/>
                    <a:ea typeface="ＭＳ Ｐゴシック" panose="020B0600070205080204" pitchFamily="50" charset="-128"/>
                  </a:rPr>
                  <a:t>年）</a:t>
                </a:r>
              </a:p>
            </c:rich>
          </c:tx>
          <c:layout>
            <c:manualLayout>
              <c:xMode val="edge"/>
              <c:yMode val="edge"/>
              <c:x val="1.4603870025556773E-2"/>
              <c:y val="2.5140730867293033E-2"/>
            </c:manualLayout>
          </c:layout>
          <c:overlay val="0"/>
          <c:spPr>
            <a:noFill/>
            <a:ln>
              <a:noFill/>
            </a:ln>
            <a:effectLst/>
          </c:spPr>
          <c:txPr>
            <a:bodyPr rot="0" spcFirstLastPara="1" vertOverflow="ellipsis"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124111216"/>
        <c:crosses val="autoZero"/>
        <c:crossBetween val="midCat"/>
      </c:valAx>
      <c:spPr>
        <a:noFill/>
        <a:ln>
          <a:solidFill>
            <a:schemeClr val="tx1"/>
          </a:solidFill>
        </a:ln>
        <a:effectLst/>
      </c:spPr>
    </c:plotArea>
    <c:legend>
      <c:legendPos val="b"/>
      <c:layout>
        <c:manualLayout>
          <c:xMode val="edge"/>
          <c:yMode val="edge"/>
          <c:x val="5.7555116672847448E-2"/>
          <c:y val="0.864724049527405"/>
          <c:w val="0.88488965166320255"/>
          <c:h val="0.1240949556986096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Relationships xmlns="http://schemas.openxmlformats.org/package/2006/relationships"><Relationship Id="rId1" Target="../charts/chart1.xml" Type="http://schemas.openxmlformats.org/officeDocument/2006/relationships/chart"/><Relationship Id="rId2" Target="../media/image1.emf" Type="http://schemas.openxmlformats.org/officeDocument/2006/relationships/image"/><Relationship Id="rId3" Target="../media/image2.emf" Type="http://schemas.openxmlformats.org/officeDocument/2006/relationships/image"/><Relationship Id="rId4" Target="../media/image3.emf" Type="http://schemas.openxmlformats.org/officeDocument/2006/relationships/image"/></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media/image1.emf" Type="http://schemas.openxmlformats.org/officeDocument/2006/relationships/image"/><Relationship Id="rId3" Target="../media/image4.emf" Type="http://schemas.openxmlformats.org/officeDocument/2006/relationships/image"/></Relationships>
</file>

<file path=xl/drawings/_rels/drawing4.xml.rels><?xml version="1.0" encoding="UTF-8" standalone="yes"?><Relationships xmlns="http://schemas.openxmlformats.org/package/2006/relationships"><Relationship Id="rId1" Target="../charts/chart3.xml" Type="http://schemas.openxmlformats.org/officeDocument/2006/relationships/chart"/><Relationship Id="rId2" Target="../media/image1.emf" Type="http://schemas.openxmlformats.org/officeDocument/2006/relationships/image"/><Relationship Id="rId3" Target="../media/image5.emf" Type="http://schemas.openxmlformats.org/officeDocument/2006/relationships/image"/><Relationship Id="rId4" Target="../media/image6.emf" Type="http://schemas.openxmlformats.org/officeDocument/2006/relationships/image"/></Relationships>
</file>

<file path=xl/drawings/_rels/drawing5.xml.rels><?xml version="1.0" encoding="UTF-8" standalone="yes"?><Relationships xmlns="http://schemas.openxmlformats.org/package/2006/relationships"><Relationship Id="rId1" Target="../charts/chart4.xml" Type="http://schemas.openxmlformats.org/officeDocument/2006/relationships/chart"/><Relationship Id="rId2" Target="../media/image1.emf" Type="http://schemas.openxmlformats.org/officeDocument/2006/relationships/image"/><Relationship Id="rId3" Target="../media/image7.emf" Type="http://schemas.openxmlformats.org/officeDocument/2006/relationships/image"/><Relationship Id="rId4" Target="../media/image8.emf" Type="http://schemas.openxmlformats.org/officeDocument/2006/relationships/image"/></Relationships>
</file>

<file path=xl/drawings/_rels/drawing6.xml.rels><?xml version="1.0" encoding="UTF-8" standalone="yes"?><Relationships xmlns="http://schemas.openxmlformats.org/package/2006/relationships"><Relationship Id="rId1" Target="../media/image9.emf" Type="http://schemas.openxmlformats.org/officeDocument/2006/relationships/image"/><Relationship Id="rId2" Target="../media/image10.emf" Type="http://schemas.openxmlformats.org/officeDocument/2006/relationships/image"/><Relationship Id="rId3" Target="../media/image11.emf" Type="http://schemas.openxmlformats.org/officeDocument/2006/relationships/image"/><Relationship Id="rId4" Target="../charts/chart5.xml" Type="http://schemas.openxmlformats.org/officeDocument/2006/relationships/chart"/><Relationship Id="rId5" Target="../media/image1.emf" Type="http://schemas.openxmlformats.org/officeDocument/2006/relationships/image"/></Relationships>
</file>

<file path=xl/drawings/_rels/drawing7.xml.rels><?xml version="1.0" encoding="UTF-8" standalone="yes"?><Relationships xmlns="http://schemas.openxmlformats.org/package/2006/relationships"><Relationship Id="rId1" Target="../charts/chart6.xml" Type="http://schemas.openxmlformats.org/officeDocument/2006/relationships/chart"/><Relationship Id="rId2" Target="../media/image1.emf" Type="http://schemas.openxmlformats.org/officeDocument/2006/relationships/image"/><Relationship Id="rId3" Target="../media/image12.emf" Type="http://schemas.openxmlformats.org/officeDocument/2006/relationships/image"/><Relationship Id="rId4" Target="../media/image13.emf" Type="http://schemas.openxmlformats.org/officeDocument/2006/relationships/image"/></Relationships>
</file>

<file path=xl/drawings/_rels/drawing8.xml.rels><?xml version="1.0" encoding="UTF-8" standalone="yes"?><Relationships xmlns="http://schemas.openxmlformats.org/package/2006/relationships"><Relationship Id="rId1" Target="../charts/chart7.xml" Type="http://schemas.openxmlformats.org/officeDocument/2006/relationships/chart"/><Relationship Id="rId2" Target="../media/image1.emf" Type="http://schemas.openxmlformats.org/officeDocument/2006/relationships/image"/><Relationship Id="rId3" Target="../media/image14.emf" Type="http://schemas.openxmlformats.org/officeDocument/2006/relationships/image"/><Relationship Id="rId4" Target="../media/image15.emf" Type="http://schemas.openxmlformats.org/officeDocument/2006/relationships/image"/></Relationships>
</file>

<file path=xl/drawings/_rels/drawing9.xml.rels><?xml version="1.0" encoding="UTF-8" standalone="yes"?><Relationships xmlns="http://schemas.openxmlformats.org/package/2006/relationships"><Relationship Id="rId1" Target="../media/image1.emf" Type="http://schemas.openxmlformats.org/officeDocument/2006/relationships/image"/><Relationship Id="rId2" Target="../media/image16.emf" Type="http://schemas.openxmlformats.org/officeDocument/2006/relationships/image"/><Relationship Id="rId3" Target="../media/image17.emf" Type="http://schemas.openxmlformats.org/officeDocument/2006/relationships/image"/><Relationship Id="rId4" Target="../charts/chart8.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12</xdr:col>
      <xdr:colOff>66675</xdr:colOff>
      <xdr:row>5</xdr:row>
      <xdr:rowOff>104776</xdr:rowOff>
    </xdr:to>
    <xdr:sp macro="" textlink="">
      <xdr:nvSpPr>
        <xdr:cNvPr id="2" name="テキスト ボックス 1">
          <a:extLst>
            <a:ext uri="{FF2B5EF4-FFF2-40B4-BE49-F238E27FC236}">
              <a16:creationId xmlns:a16="http://schemas.microsoft.com/office/drawing/2014/main" id="{8D4BC259-2878-44A3-ADC1-4950296FB1B1}"/>
            </a:ext>
          </a:extLst>
        </xdr:cNvPr>
        <xdr:cNvSpPr txBox="1"/>
      </xdr:nvSpPr>
      <xdr:spPr>
        <a:xfrm>
          <a:off x="5105400" y="238125"/>
          <a:ext cx="2809875" cy="105727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事例は、</a:t>
          </a:r>
          <a:r>
            <a:rPr kumimoji="1" lang="en-US" altLang="ja-JP" sz="1100">
              <a:solidFill>
                <a:srgbClr val="FF0000"/>
              </a:solidFill>
            </a:rPr>
            <a:t>2024</a:t>
          </a:r>
          <a:r>
            <a:rPr kumimoji="1" lang="ja-JP" altLang="en-US" sz="1100">
              <a:solidFill>
                <a:srgbClr val="FF0000"/>
              </a:solidFill>
            </a:rPr>
            <a:t>年度公募の提案書ファイル</a:t>
          </a:r>
          <a:r>
            <a:rPr kumimoji="1" lang="en-US" altLang="ja-JP" sz="1100">
              <a:solidFill>
                <a:srgbClr val="FF0000"/>
              </a:solidFill>
            </a:rPr>
            <a:t>B</a:t>
          </a:r>
          <a:r>
            <a:rPr kumimoji="1" lang="ja-JP" altLang="en-US" sz="1100">
              <a:solidFill>
                <a:srgbClr val="FF0000"/>
              </a:solidFill>
            </a:rPr>
            <a:t>フォーマットに記載しています。最新の公募のフォーマットとは異なるので、ご留意ください。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291353</xdr:colOff>
      <xdr:row>14</xdr:row>
      <xdr:rowOff>324969</xdr:rowOff>
    </xdr:from>
    <xdr:to>
      <xdr:col>10</xdr:col>
      <xdr:colOff>1255059</xdr:colOff>
      <xdr:row>14</xdr:row>
      <xdr:rowOff>4997822</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3</xdr:row>
      <xdr:rowOff>0</xdr:rowOff>
    </xdr:from>
    <xdr:to>
      <xdr:col>18</xdr:col>
      <xdr:colOff>423334</xdr:colOff>
      <xdr:row>10</xdr:row>
      <xdr:rowOff>279513</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4150" y="447675"/>
          <a:ext cx="3671359" cy="17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257175</xdr:colOff>
      <xdr:row>68</xdr:row>
      <xdr:rowOff>1933575</xdr:rowOff>
    </xdr:from>
    <xdr:to>
      <xdr:col>8</xdr:col>
      <xdr:colOff>809625</xdr:colOff>
      <xdr:row>68</xdr:row>
      <xdr:rowOff>4686300</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7525" y="29994225"/>
          <a:ext cx="45815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1295400</xdr:colOff>
      <xdr:row>41</xdr:row>
      <xdr:rowOff>361950</xdr:rowOff>
    </xdr:from>
    <xdr:to>
      <xdr:col>10</xdr:col>
      <xdr:colOff>1600200</xdr:colOff>
      <xdr:row>41</xdr:row>
      <xdr:rowOff>3067050</xdr:rowOff>
    </xdr:to>
    <xdr:pic>
      <xdr:nvPicPr>
        <xdr:cNvPr id="6" name="図 5">
          <a:extLst>
            <a:ext uri="{FF2B5EF4-FFF2-40B4-BE49-F238E27FC236}">
              <a16:creationId xmlns:a16="http://schemas.microsoft.com/office/drawing/2014/main" id="{9AA05A46-2D2F-828A-2A2B-A2A2C4A59A6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38775" y="17554575"/>
          <a:ext cx="4457700"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8</xdr:col>
      <xdr:colOff>550333</xdr:colOff>
      <xdr:row>3</xdr:row>
      <xdr:rowOff>10583</xdr:rowOff>
    </xdr:to>
    <xdr:sp macro="" textlink="">
      <xdr:nvSpPr>
        <xdr:cNvPr id="7" name="正方形/長方形 6">
          <a:extLst>
            <a:ext uri="{FF2B5EF4-FFF2-40B4-BE49-F238E27FC236}">
              <a16:creationId xmlns:a16="http://schemas.microsoft.com/office/drawing/2014/main" id="{86859C09-A837-144F-0CDB-3EC3C1D65913}"/>
            </a:ext>
          </a:extLst>
        </xdr:cNvPr>
        <xdr:cNvSpPr/>
      </xdr:nvSpPr>
      <xdr:spPr>
        <a:xfrm>
          <a:off x="0" y="0"/>
          <a:ext cx="7397750" cy="45508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事例①</a:t>
          </a:r>
          <a:r>
            <a:rPr kumimoji="1" lang="en-US" altLang="ja-JP" sz="1600" b="1">
              <a:solidFill>
                <a:sysClr val="windowText" lastClr="000000"/>
              </a:solidFill>
            </a:rPr>
            <a:t>.</a:t>
          </a:r>
          <a:r>
            <a:rPr kumimoji="1" lang="en-US" altLang="ja-JP" sz="1600" b="1" baseline="0">
              <a:solidFill>
                <a:sysClr val="windowText" lastClr="000000"/>
              </a:solidFill>
            </a:rPr>
            <a:t> </a:t>
          </a:r>
          <a:r>
            <a:rPr kumimoji="1" lang="ja-JP" altLang="en-US" sz="1600" b="1">
              <a:solidFill>
                <a:sysClr val="windowText" lastClr="000000"/>
              </a:solidFill>
            </a:rPr>
            <a:t>高機能接合剤の開発による電子部品熱処理工程の省エネルギー</a:t>
          </a:r>
        </a:p>
      </xdr:txBody>
    </xdr:sp>
    <xdr:clientData/>
  </xdr:twoCellAnchor>
  <xdr:twoCellAnchor>
    <xdr:from>
      <xdr:col>13</xdr:col>
      <xdr:colOff>0</xdr:colOff>
      <xdr:row>11</xdr:row>
      <xdr:rowOff>0</xdr:rowOff>
    </xdr:from>
    <xdr:to>
      <xdr:col>17</xdr:col>
      <xdr:colOff>180975</xdr:colOff>
      <xdr:row>14</xdr:row>
      <xdr:rowOff>428626</xdr:rowOff>
    </xdr:to>
    <xdr:sp macro="" textlink="">
      <xdr:nvSpPr>
        <xdr:cNvPr id="9" name="テキスト ボックス 8">
          <a:extLst>
            <a:ext uri="{FF2B5EF4-FFF2-40B4-BE49-F238E27FC236}">
              <a16:creationId xmlns:a16="http://schemas.microsoft.com/office/drawing/2014/main" id="{80A0C6B6-FC34-49EA-A52D-8D0AC895EAB1}"/>
            </a:ext>
          </a:extLst>
        </xdr:cNvPr>
        <xdr:cNvSpPr txBox="1"/>
      </xdr:nvSpPr>
      <xdr:spPr>
        <a:xfrm>
          <a:off x="10344150" y="2276475"/>
          <a:ext cx="2809875" cy="105727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事例は、</a:t>
          </a:r>
          <a:r>
            <a:rPr kumimoji="1" lang="en-US" altLang="ja-JP" sz="1100">
              <a:solidFill>
                <a:srgbClr val="FF0000"/>
              </a:solidFill>
            </a:rPr>
            <a:t>2024</a:t>
          </a:r>
          <a:r>
            <a:rPr kumimoji="1" lang="ja-JP" altLang="en-US" sz="1100">
              <a:solidFill>
                <a:srgbClr val="FF0000"/>
              </a:solidFill>
            </a:rPr>
            <a:t>年度公募の提案書ファイル</a:t>
          </a:r>
          <a:r>
            <a:rPr kumimoji="1" lang="en-US" altLang="ja-JP" sz="1100">
              <a:solidFill>
                <a:srgbClr val="FF0000"/>
              </a:solidFill>
            </a:rPr>
            <a:t>B</a:t>
          </a:r>
          <a:r>
            <a:rPr kumimoji="1" lang="ja-JP" altLang="en-US" sz="1100">
              <a:solidFill>
                <a:srgbClr val="FF0000"/>
              </a:solidFill>
            </a:rPr>
            <a:t>フォーマットに記載しています。最新の公募のフォーマットとは異なるので、ご留意ください。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291353</xdr:colOff>
      <xdr:row>14</xdr:row>
      <xdr:rowOff>324969</xdr:rowOff>
    </xdr:from>
    <xdr:to>
      <xdr:col>10</xdr:col>
      <xdr:colOff>1255059</xdr:colOff>
      <xdr:row>14</xdr:row>
      <xdr:rowOff>4997822</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3</xdr:row>
      <xdr:rowOff>0</xdr:rowOff>
    </xdr:from>
    <xdr:to>
      <xdr:col>18</xdr:col>
      <xdr:colOff>423334</xdr:colOff>
      <xdr:row>10</xdr:row>
      <xdr:rowOff>60438</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4150" y="447675"/>
          <a:ext cx="3671359" cy="17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68</xdr:row>
      <xdr:rowOff>1457325</xdr:rowOff>
    </xdr:from>
    <xdr:to>
      <xdr:col>8</xdr:col>
      <xdr:colOff>704850</xdr:colOff>
      <xdr:row>68</xdr:row>
      <xdr:rowOff>4210050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29517975"/>
          <a:ext cx="458152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8</xdr:col>
      <xdr:colOff>568325</xdr:colOff>
      <xdr:row>3</xdr:row>
      <xdr:rowOff>7408</xdr:rowOff>
    </xdr:to>
    <xdr:sp macro="" textlink="">
      <xdr:nvSpPr>
        <xdr:cNvPr id="4" name="正方形/長方形 3">
          <a:extLst>
            <a:ext uri="{FF2B5EF4-FFF2-40B4-BE49-F238E27FC236}">
              <a16:creationId xmlns:a16="http://schemas.microsoft.com/office/drawing/2014/main" id="{70D6450B-04AB-42CB-AA99-D07028A83979}"/>
            </a:ext>
          </a:extLst>
        </xdr:cNvPr>
        <xdr:cNvSpPr/>
      </xdr:nvSpPr>
      <xdr:spPr>
        <a:xfrm>
          <a:off x="0" y="0"/>
          <a:ext cx="7397750" cy="45508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事例②</a:t>
          </a:r>
          <a:r>
            <a:rPr kumimoji="1" lang="en-US" altLang="ja-JP" sz="1600" b="1">
              <a:solidFill>
                <a:sysClr val="windowText" lastClr="000000"/>
              </a:solidFill>
            </a:rPr>
            <a:t>. </a:t>
          </a:r>
          <a:r>
            <a:rPr kumimoji="1" lang="ja-JP" altLang="en-US" sz="1600" b="1">
              <a:solidFill>
                <a:sysClr val="windowText" lastClr="000000"/>
              </a:solidFill>
            </a:rPr>
            <a:t>基礎化学品</a:t>
          </a:r>
          <a:r>
            <a:rPr kumimoji="1" lang="en-US" altLang="ja-JP" sz="1600" b="1">
              <a:solidFill>
                <a:sysClr val="windowText" lastClr="000000"/>
              </a:solidFill>
            </a:rPr>
            <a:t>X</a:t>
          </a:r>
          <a:r>
            <a:rPr kumimoji="1" lang="ja-JP" altLang="en-US" sz="1600" b="1">
              <a:solidFill>
                <a:sysClr val="windowText" lastClr="000000"/>
              </a:solidFill>
            </a:rPr>
            <a:t>のバイオプロセス生産による省エネルギー</a:t>
          </a:r>
        </a:p>
      </xdr:txBody>
    </xdr:sp>
    <xdr:clientData/>
  </xdr:twoCellAnchor>
  <xdr:twoCellAnchor>
    <xdr:from>
      <xdr:col>13</xdr:col>
      <xdr:colOff>0</xdr:colOff>
      <xdr:row>11</xdr:row>
      <xdr:rowOff>0</xdr:rowOff>
    </xdr:from>
    <xdr:to>
      <xdr:col>17</xdr:col>
      <xdr:colOff>180975</xdr:colOff>
      <xdr:row>14</xdr:row>
      <xdr:rowOff>428626</xdr:rowOff>
    </xdr:to>
    <xdr:sp macro="" textlink="">
      <xdr:nvSpPr>
        <xdr:cNvPr id="6" name="テキスト ボックス 5">
          <a:extLst>
            <a:ext uri="{FF2B5EF4-FFF2-40B4-BE49-F238E27FC236}">
              <a16:creationId xmlns:a16="http://schemas.microsoft.com/office/drawing/2014/main" id="{CAC24123-4AB3-4FB7-BF91-63B8CAD9E9F8}"/>
            </a:ext>
          </a:extLst>
        </xdr:cNvPr>
        <xdr:cNvSpPr txBox="1"/>
      </xdr:nvSpPr>
      <xdr:spPr>
        <a:xfrm>
          <a:off x="10344150" y="2276475"/>
          <a:ext cx="2809875" cy="105727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事例は、</a:t>
          </a:r>
          <a:r>
            <a:rPr kumimoji="1" lang="en-US" altLang="ja-JP" sz="1100">
              <a:solidFill>
                <a:srgbClr val="FF0000"/>
              </a:solidFill>
            </a:rPr>
            <a:t>2024</a:t>
          </a:r>
          <a:r>
            <a:rPr kumimoji="1" lang="ja-JP" altLang="en-US" sz="1100">
              <a:solidFill>
                <a:srgbClr val="FF0000"/>
              </a:solidFill>
            </a:rPr>
            <a:t>年度公募の提案書ファイル</a:t>
          </a:r>
          <a:r>
            <a:rPr kumimoji="1" lang="en-US" altLang="ja-JP" sz="1100">
              <a:solidFill>
                <a:srgbClr val="FF0000"/>
              </a:solidFill>
            </a:rPr>
            <a:t>B</a:t>
          </a:r>
          <a:r>
            <a:rPr kumimoji="1" lang="ja-JP" altLang="en-US" sz="1100">
              <a:solidFill>
                <a:srgbClr val="FF0000"/>
              </a:solidFill>
            </a:rPr>
            <a:t>フォーマットに記載しています。最新の公募のフォーマットとは異なるので、ご留意ください。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291353</xdr:colOff>
      <xdr:row>14</xdr:row>
      <xdr:rowOff>324969</xdr:rowOff>
    </xdr:from>
    <xdr:to>
      <xdr:col>10</xdr:col>
      <xdr:colOff>1255059</xdr:colOff>
      <xdr:row>14</xdr:row>
      <xdr:rowOff>4997822</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3</xdr:row>
      <xdr:rowOff>0</xdr:rowOff>
    </xdr:from>
    <xdr:to>
      <xdr:col>18</xdr:col>
      <xdr:colOff>423334</xdr:colOff>
      <xdr:row>10</xdr:row>
      <xdr:rowOff>60438</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4150" y="447675"/>
          <a:ext cx="3671359" cy="17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433916</xdr:colOff>
      <xdr:row>41</xdr:row>
      <xdr:rowOff>4773084</xdr:rowOff>
    </xdr:from>
    <xdr:ext cx="4239998" cy="17222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891241" y="21965709"/>
          <a:ext cx="4239998" cy="17222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spAutoFit/>
        </a:bodyPr>
        <a:lstStyle/>
        <a:p>
          <a:r>
            <a:rPr kumimoji="1" lang="en-US" altLang="ja-JP" sz="1100"/>
            <a:t>https://trienplus.com/energy-thermal-power-generation-and-efficiency/</a:t>
          </a:r>
          <a:endParaRPr kumimoji="1" lang="ja-JP" altLang="en-US" sz="1100"/>
        </a:p>
      </xdr:txBody>
    </xdr:sp>
    <xdr:clientData/>
  </xdr:oneCellAnchor>
  <xdr:oneCellAnchor>
    <xdr:from>
      <xdr:col>5</xdr:col>
      <xdr:colOff>10583</xdr:colOff>
      <xdr:row>68</xdr:row>
      <xdr:rowOff>4466166</xdr:rowOff>
    </xdr:from>
    <xdr:ext cx="2204312" cy="172227"/>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810933" y="32526816"/>
          <a:ext cx="2204312" cy="17222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spAutoFit/>
        </a:bodyPr>
        <a:lstStyle/>
        <a:p>
          <a:r>
            <a:rPr kumimoji="1" lang="en-US" altLang="ja-JP" sz="1100"/>
            <a:t>https://mirai-bridges.com/hatsuden/</a:t>
          </a:r>
          <a:endParaRPr kumimoji="1" lang="ja-JP" altLang="en-US" sz="1100"/>
        </a:p>
      </xdr:txBody>
    </xdr:sp>
    <xdr:clientData/>
  </xdr:oneCellAnchor>
  <xdr:twoCellAnchor editAs="oneCell">
    <xdr:from>
      <xdr:col>3</xdr:col>
      <xdr:colOff>295275</xdr:colOff>
      <xdr:row>68</xdr:row>
      <xdr:rowOff>609600</xdr:rowOff>
    </xdr:from>
    <xdr:to>
      <xdr:col>8</xdr:col>
      <xdr:colOff>132516</xdr:colOff>
      <xdr:row>68</xdr:row>
      <xdr:rowOff>4336810</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0" y="28670250"/>
          <a:ext cx="5895141" cy="372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495300</xdr:colOff>
      <xdr:row>41</xdr:row>
      <xdr:rowOff>1676400</xdr:rowOff>
    </xdr:from>
    <xdr:to>
      <xdr:col>7</xdr:col>
      <xdr:colOff>466725</xdr:colOff>
      <xdr:row>41</xdr:row>
      <xdr:rowOff>4743450</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2625" y="18869025"/>
          <a:ext cx="4000500"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8</xdr:col>
      <xdr:colOff>568325</xdr:colOff>
      <xdr:row>3</xdr:row>
      <xdr:rowOff>7408</xdr:rowOff>
    </xdr:to>
    <xdr:sp macro="" textlink="">
      <xdr:nvSpPr>
        <xdr:cNvPr id="4" name="正方形/長方形 3">
          <a:extLst>
            <a:ext uri="{FF2B5EF4-FFF2-40B4-BE49-F238E27FC236}">
              <a16:creationId xmlns:a16="http://schemas.microsoft.com/office/drawing/2014/main" id="{BC4FB7D8-A682-40AD-9685-1EC6AA909645}"/>
            </a:ext>
          </a:extLst>
        </xdr:cNvPr>
        <xdr:cNvSpPr/>
      </xdr:nvSpPr>
      <xdr:spPr>
        <a:xfrm>
          <a:off x="0" y="0"/>
          <a:ext cx="7397750" cy="45508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事例③</a:t>
          </a:r>
          <a:r>
            <a:rPr kumimoji="1" lang="en-US" altLang="ja-JP" sz="1600" b="1">
              <a:solidFill>
                <a:sysClr val="windowText" lastClr="000000"/>
              </a:solidFill>
            </a:rPr>
            <a:t>.</a:t>
          </a:r>
          <a:r>
            <a:rPr kumimoji="1" lang="en-US" altLang="ja-JP" sz="1600" b="1" baseline="0">
              <a:solidFill>
                <a:sysClr val="windowText" lastClr="000000"/>
              </a:solidFill>
            </a:rPr>
            <a:t> </a:t>
          </a:r>
          <a:r>
            <a:rPr kumimoji="1" lang="en-US" altLang="ja-JP" sz="1600" b="1">
              <a:solidFill>
                <a:sysClr val="windowText" lastClr="000000"/>
              </a:solidFill>
            </a:rPr>
            <a:t>500MW</a:t>
          </a:r>
          <a:r>
            <a:rPr kumimoji="1" lang="ja-JP" altLang="en-US" sz="1600" b="1">
              <a:solidFill>
                <a:sysClr val="windowText" lastClr="000000"/>
              </a:solidFill>
            </a:rPr>
            <a:t>級耐熱型高効率発電機</a:t>
          </a:r>
        </a:p>
      </xdr:txBody>
    </xdr:sp>
    <xdr:clientData/>
  </xdr:twoCellAnchor>
  <xdr:twoCellAnchor>
    <xdr:from>
      <xdr:col>13</xdr:col>
      <xdr:colOff>0</xdr:colOff>
      <xdr:row>11</xdr:row>
      <xdr:rowOff>0</xdr:rowOff>
    </xdr:from>
    <xdr:to>
      <xdr:col>17</xdr:col>
      <xdr:colOff>180975</xdr:colOff>
      <xdr:row>14</xdr:row>
      <xdr:rowOff>428626</xdr:rowOff>
    </xdr:to>
    <xdr:sp macro="" textlink="">
      <xdr:nvSpPr>
        <xdr:cNvPr id="6" name="テキスト ボックス 5">
          <a:extLst>
            <a:ext uri="{FF2B5EF4-FFF2-40B4-BE49-F238E27FC236}">
              <a16:creationId xmlns:a16="http://schemas.microsoft.com/office/drawing/2014/main" id="{2F07D4A2-512A-4D93-8188-6B8F260B54CD}"/>
            </a:ext>
          </a:extLst>
        </xdr:cNvPr>
        <xdr:cNvSpPr txBox="1"/>
      </xdr:nvSpPr>
      <xdr:spPr>
        <a:xfrm>
          <a:off x="10344150" y="2276475"/>
          <a:ext cx="2809875" cy="105727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事例は、</a:t>
          </a:r>
          <a:r>
            <a:rPr kumimoji="1" lang="en-US" altLang="ja-JP" sz="1100">
              <a:solidFill>
                <a:srgbClr val="FF0000"/>
              </a:solidFill>
            </a:rPr>
            <a:t>2024</a:t>
          </a:r>
          <a:r>
            <a:rPr kumimoji="1" lang="ja-JP" altLang="en-US" sz="1100">
              <a:solidFill>
                <a:srgbClr val="FF0000"/>
              </a:solidFill>
            </a:rPr>
            <a:t>年度公募の提案書ファイル</a:t>
          </a:r>
          <a:r>
            <a:rPr kumimoji="1" lang="en-US" altLang="ja-JP" sz="1100">
              <a:solidFill>
                <a:srgbClr val="FF0000"/>
              </a:solidFill>
            </a:rPr>
            <a:t>B</a:t>
          </a:r>
          <a:r>
            <a:rPr kumimoji="1" lang="ja-JP" altLang="en-US" sz="1100">
              <a:solidFill>
                <a:srgbClr val="FF0000"/>
              </a:solidFill>
            </a:rPr>
            <a:t>フォーマットに記載しています。最新の公募のフォーマットとは異なるので、ご留意ください。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291353</xdr:colOff>
      <xdr:row>14</xdr:row>
      <xdr:rowOff>324969</xdr:rowOff>
    </xdr:from>
    <xdr:to>
      <xdr:col>10</xdr:col>
      <xdr:colOff>1255059</xdr:colOff>
      <xdr:row>14</xdr:row>
      <xdr:rowOff>4997822</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3</xdr:row>
      <xdr:rowOff>0</xdr:rowOff>
    </xdr:from>
    <xdr:to>
      <xdr:col>18</xdr:col>
      <xdr:colOff>423334</xdr:colOff>
      <xdr:row>10</xdr:row>
      <xdr:rowOff>60438</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4150" y="447675"/>
          <a:ext cx="3671359" cy="17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571500</xdr:colOff>
      <xdr:row>41</xdr:row>
      <xdr:rowOff>695325</xdr:rowOff>
    </xdr:from>
    <xdr:to>
      <xdr:col>10</xdr:col>
      <xdr:colOff>1476375</xdr:colOff>
      <xdr:row>41</xdr:row>
      <xdr:rowOff>4629150</xdr:rowOff>
    </xdr:to>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00925" y="17887950"/>
          <a:ext cx="2371725" cy="393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68</xdr:row>
      <xdr:rowOff>1914525</xdr:rowOff>
    </xdr:from>
    <xdr:to>
      <xdr:col>8</xdr:col>
      <xdr:colOff>746125</xdr:colOff>
      <xdr:row>68</xdr:row>
      <xdr:rowOff>4667250</xdr:rowOff>
    </xdr:to>
    <xdr:pic>
      <xdr:nvPicPr>
        <xdr:cNvPr id="6" name="図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90850" y="29975175"/>
          <a:ext cx="4584700"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457199</xdr:colOff>
      <xdr:row>41</xdr:row>
      <xdr:rowOff>1409700</xdr:rowOff>
    </xdr:from>
    <xdr:to>
      <xdr:col>10</xdr:col>
      <xdr:colOff>1571624</xdr:colOff>
      <xdr:row>41</xdr:row>
      <xdr:rowOff>1704975</xdr:rowOff>
    </xdr:to>
    <xdr:sp macro="" textlink="">
      <xdr:nvSpPr>
        <xdr:cNvPr id="4" name="楕円 3">
          <a:extLst>
            <a:ext uri="{FF2B5EF4-FFF2-40B4-BE49-F238E27FC236}">
              <a16:creationId xmlns:a16="http://schemas.microsoft.com/office/drawing/2014/main" id="{E6B40EA4-76D9-46E9-B396-0297008D33F4}"/>
            </a:ext>
          </a:extLst>
        </xdr:cNvPr>
        <xdr:cNvSpPr/>
      </xdr:nvSpPr>
      <xdr:spPr>
        <a:xfrm>
          <a:off x="7286624" y="18602325"/>
          <a:ext cx="2581275" cy="295275"/>
        </a:xfrm>
        <a:prstGeom prst="ellipse">
          <a:avLst/>
        </a:prstGeom>
        <a:noFill/>
        <a:ln w="254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0</xdr:rowOff>
    </xdr:from>
    <xdr:to>
      <xdr:col>8</xdr:col>
      <xdr:colOff>568325</xdr:colOff>
      <xdr:row>3</xdr:row>
      <xdr:rowOff>7408</xdr:rowOff>
    </xdr:to>
    <xdr:sp macro="" textlink="">
      <xdr:nvSpPr>
        <xdr:cNvPr id="7" name="正方形/長方形 6">
          <a:extLst>
            <a:ext uri="{FF2B5EF4-FFF2-40B4-BE49-F238E27FC236}">
              <a16:creationId xmlns:a16="http://schemas.microsoft.com/office/drawing/2014/main" id="{1E282194-D07A-4D3C-82B6-F09DC9F60CA1}"/>
            </a:ext>
          </a:extLst>
        </xdr:cNvPr>
        <xdr:cNvSpPr/>
      </xdr:nvSpPr>
      <xdr:spPr>
        <a:xfrm>
          <a:off x="0" y="0"/>
          <a:ext cx="7397750" cy="45508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事例④</a:t>
          </a:r>
          <a:r>
            <a:rPr kumimoji="1" lang="en-US" altLang="ja-JP" sz="1600" b="1">
              <a:solidFill>
                <a:sysClr val="windowText" lastClr="000000"/>
              </a:solidFill>
            </a:rPr>
            <a:t>.</a:t>
          </a:r>
          <a:r>
            <a:rPr kumimoji="1" lang="en-US" altLang="ja-JP" sz="1600" b="1" baseline="0">
              <a:solidFill>
                <a:sysClr val="windowText" lastClr="000000"/>
              </a:solidFill>
            </a:rPr>
            <a:t> </a:t>
          </a:r>
          <a:r>
            <a:rPr kumimoji="1" lang="ja-JP" altLang="en-US" sz="1600" b="1">
              <a:solidFill>
                <a:sysClr val="windowText" lastClr="000000"/>
              </a:solidFill>
            </a:rPr>
            <a:t>自動車部材の</a:t>
          </a:r>
          <a:r>
            <a:rPr kumimoji="1" lang="en-US" altLang="ja-JP" sz="1600" b="1">
              <a:solidFill>
                <a:sysClr val="windowText" lastClr="000000"/>
              </a:solidFill>
            </a:rPr>
            <a:t>CFRP</a:t>
          </a:r>
          <a:r>
            <a:rPr kumimoji="1" lang="ja-JP" altLang="en-US" sz="1600" b="1">
              <a:solidFill>
                <a:sysClr val="windowText" lastClr="000000"/>
              </a:solidFill>
            </a:rPr>
            <a:t>への置き換えによる車両の軽量化</a:t>
          </a:r>
        </a:p>
      </xdr:txBody>
    </xdr:sp>
    <xdr:clientData/>
  </xdr:twoCellAnchor>
  <xdr:twoCellAnchor>
    <xdr:from>
      <xdr:col>13</xdr:col>
      <xdr:colOff>0</xdr:colOff>
      <xdr:row>11</xdr:row>
      <xdr:rowOff>0</xdr:rowOff>
    </xdr:from>
    <xdr:to>
      <xdr:col>17</xdr:col>
      <xdr:colOff>180975</xdr:colOff>
      <xdr:row>14</xdr:row>
      <xdr:rowOff>428626</xdr:rowOff>
    </xdr:to>
    <xdr:sp macro="" textlink="">
      <xdr:nvSpPr>
        <xdr:cNvPr id="8" name="テキスト ボックス 7">
          <a:extLst>
            <a:ext uri="{FF2B5EF4-FFF2-40B4-BE49-F238E27FC236}">
              <a16:creationId xmlns:a16="http://schemas.microsoft.com/office/drawing/2014/main" id="{D76C47B2-2311-43CD-81A8-F2620DDBD3F3}"/>
            </a:ext>
          </a:extLst>
        </xdr:cNvPr>
        <xdr:cNvSpPr txBox="1"/>
      </xdr:nvSpPr>
      <xdr:spPr>
        <a:xfrm>
          <a:off x="10344150" y="2276475"/>
          <a:ext cx="2809875" cy="105727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事例は、</a:t>
          </a:r>
          <a:r>
            <a:rPr kumimoji="1" lang="en-US" altLang="ja-JP" sz="1100">
              <a:solidFill>
                <a:srgbClr val="FF0000"/>
              </a:solidFill>
            </a:rPr>
            <a:t>2024</a:t>
          </a:r>
          <a:r>
            <a:rPr kumimoji="1" lang="ja-JP" altLang="en-US" sz="1100">
              <a:solidFill>
                <a:srgbClr val="FF0000"/>
              </a:solidFill>
            </a:rPr>
            <a:t>年度公募の提案書ファイル</a:t>
          </a:r>
          <a:r>
            <a:rPr kumimoji="1" lang="en-US" altLang="ja-JP" sz="1100">
              <a:solidFill>
                <a:srgbClr val="FF0000"/>
              </a:solidFill>
            </a:rPr>
            <a:t>B</a:t>
          </a:r>
          <a:r>
            <a:rPr kumimoji="1" lang="ja-JP" altLang="en-US" sz="1100">
              <a:solidFill>
                <a:srgbClr val="FF0000"/>
              </a:solidFill>
            </a:rPr>
            <a:t>フォーマットに記載しています。最新の公募のフォーマットとは異なるので、ご留意ください。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9525</xdr:colOff>
      <xdr:row>68</xdr:row>
      <xdr:rowOff>2505075</xdr:rowOff>
    </xdr:from>
    <xdr:to>
      <xdr:col>7</xdr:col>
      <xdr:colOff>914400</xdr:colOff>
      <xdr:row>68</xdr:row>
      <xdr:rowOff>5019675</xdr:rowOff>
    </xdr:to>
    <xdr:pic>
      <xdr:nvPicPr>
        <xdr:cNvPr id="13" name="図 12">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6850" y="30565725"/>
          <a:ext cx="4933950" cy="251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1257299</xdr:colOff>
      <xdr:row>41</xdr:row>
      <xdr:rowOff>2805311</xdr:rowOff>
    </xdr:from>
    <xdr:to>
      <xdr:col>10</xdr:col>
      <xdr:colOff>790574</xdr:colOff>
      <xdr:row>41</xdr:row>
      <xdr:rowOff>5010150</xdr:rowOff>
    </xdr:to>
    <xdr:pic>
      <xdr:nvPicPr>
        <xdr:cNvPr id="11" name="図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43699" y="19997936"/>
          <a:ext cx="2343150" cy="2204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447675</xdr:colOff>
      <xdr:row>41</xdr:row>
      <xdr:rowOff>2771775</xdr:rowOff>
    </xdr:from>
    <xdr:to>
      <xdr:col>7</xdr:col>
      <xdr:colOff>62144</xdr:colOff>
      <xdr:row>41</xdr:row>
      <xdr:rowOff>5067300</xdr:rowOff>
    </xdr:to>
    <xdr:pic>
      <xdr:nvPicPr>
        <xdr:cNvPr id="12" name="図 11">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0" y="19964400"/>
          <a:ext cx="4329344" cy="229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291353</xdr:colOff>
      <xdr:row>14</xdr:row>
      <xdr:rowOff>324969</xdr:rowOff>
    </xdr:from>
    <xdr:to>
      <xdr:col>10</xdr:col>
      <xdr:colOff>1255059</xdr:colOff>
      <xdr:row>14</xdr:row>
      <xdr:rowOff>4997822</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13</xdr:col>
      <xdr:colOff>0</xdr:colOff>
      <xdr:row>3</xdr:row>
      <xdr:rowOff>0</xdr:rowOff>
    </xdr:from>
    <xdr:to>
      <xdr:col>18</xdr:col>
      <xdr:colOff>423334</xdr:colOff>
      <xdr:row>10</xdr:row>
      <xdr:rowOff>60438</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344150" y="447675"/>
          <a:ext cx="3671359" cy="17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1171576</xdr:colOff>
      <xdr:row>41</xdr:row>
      <xdr:rowOff>2912509</xdr:rowOff>
    </xdr:from>
    <xdr:ext cx="1565856" cy="68815"/>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flipV="1">
          <a:off x="8001001" y="20105134"/>
          <a:ext cx="1565856" cy="688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xdr:col>
      <xdr:colOff>609600</xdr:colOff>
      <xdr:row>41</xdr:row>
      <xdr:rowOff>4595812</xdr:rowOff>
    </xdr:from>
    <xdr:ext cx="2907005" cy="172227"/>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066925" y="21788437"/>
          <a:ext cx="2907005" cy="172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spAutoFit/>
        </a:bodyPr>
        <a:lstStyle/>
        <a:p>
          <a:r>
            <a:rPr kumimoji="1" lang="en-US" altLang="ja-JP" sz="1100"/>
            <a:t>https://www.eccj.or.jp/commercial_bldg/s2.html</a:t>
          </a:r>
          <a:endParaRPr kumimoji="1" lang="ja-JP" altLang="en-US" sz="1100"/>
        </a:p>
      </xdr:txBody>
    </xdr:sp>
    <xdr:clientData/>
  </xdr:oneCellAnchor>
  <xdr:oneCellAnchor>
    <xdr:from>
      <xdr:col>7</xdr:col>
      <xdr:colOff>1123950</xdr:colOff>
      <xdr:row>41</xdr:row>
      <xdr:rowOff>3600450</xdr:rowOff>
    </xdr:from>
    <xdr:ext cx="2578261" cy="172227"/>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610350" y="20793075"/>
          <a:ext cx="2578261" cy="172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spAutoFit/>
        </a:bodyPr>
        <a:lstStyle/>
        <a:p>
          <a:r>
            <a:rPr kumimoji="1" lang="en-US" altLang="ja-JP" sz="1100"/>
            <a:t>http://sho-energy.jp/commerce/bems.html</a:t>
          </a:r>
          <a:endParaRPr kumimoji="1" lang="ja-JP" altLang="en-US" sz="1100"/>
        </a:p>
      </xdr:txBody>
    </xdr:sp>
    <xdr:clientData/>
  </xdr:oneCellAnchor>
  <xdr:oneCellAnchor>
    <xdr:from>
      <xdr:col>6</xdr:col>
      <xdr:colOff>95250</xdr:colOff>
      <xdr:row>68</xdr:row>
      <xdr:rowOff>4791075</xdr:rowOff>
    </xdr:from>
    <xdr:ext cx="4019874" cy="172227"/>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238625" y="32851725"/>
          <a:ext cx="4019874" cy="172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spAutoFit/>
        </a:bodyPr>
        <a:lstStyle/>
        <a:p>
          <a:r>
            <a:rPr kumimoji="1" lang="en-US" altLang="ja-JP" sz="1100"/>
            <a:t>https://www.mlit.go.jp/toukeijouhou/toukei07/geturei/9/topiku.pdf</a:t>
          </a:r>
          <a:endParaRPr kumimoji="1" lang="ja-JP" altLang="en-US" sz="1100"/>
        </a:p>
      </xdr:txBody>
    </xdr:sp>
    <xdr:clientData/>
  </xdr:oneCellAnchor>
  <xdr:twoCellAnchor>
    <xdr:from>
      <xdr:col>0</xdr:col>
      <xdr:colOff>0</xdr:colOff>
      <xdr:row>0</xdr:row>
      <xdr:rowOff>0</xdr:rowOff>
    </xdr:from>
    <xdr:to>
      <xdr:col>8</xdr:col>
      <xdr:colOff>568325</xdr:colOff>
      <xdr:row>3</xdr:row>
      <xdr:rowOff>7408</xdr:rowOff>
    </xdr:to>
    <xdr:sp macro="" textlink="">
      <xdr:nvSpPr>
        <xdr:cNvPr id="5" name="正方形/長方形 4">
          <a:extLst>
            <a:ext uri="{FF2B5EF4-FFF2-40B4-BE49-F238E27FC236}">
              <a16:creationId xmlns:a16="http://schemas.microsoft.com/office/drawing/2014/main" id="{DF6D4FC7-387F-4D5E-AAED-8448B07CEF01}"/>
            </a:ext>
          </a:extLst>
        </xdr:cNvPr>
        <xdr:cNvSpPr/>
      </xdr:nvSpPr>
      <xdr:spPr>
        <a:xfrm>
          <a:off x="0" y="0"/>
          <a:ext cx="7397750" cy="45508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事例⑥</a:t>
          </a:r>
          <a:r>
            <a:rPr kumimoji="1" lang="en-US" altLang="ja-JP" sz="1600" b="1">
              <a:solidFill>
                <a:sysClr val="windowText" lastClr="000000"/>
              </a:solidFill>
            </a:rPr>
            <a:t>.</a:t>
          </a:r>
          <a:r>
            <a:rPr kumimoji="1" lang="en-US" altLang="ja-JP" sz="1600" b="1" baseline="0">
              <a:solidFill>
                <a:sysClr val="windowText" lastClr="000000"/>
              </a:solidFill>
            </a:rPr>
            <a:t> </a:t>
          </a:r>
          <a:r>
            <a:rPr kumimoji="1" lang="ja-JP" altLang="en-US" sz="1600" b="1">
              <a:solidFill>
                <a:sysClr val="windowText" lastClr="000000"/>
              </a:solidFill>
            </a:rPr>
            <a:t>商業施設の空調制御技術の開発</a:t>
          </a:r>
        </a:p>
      </xdr:txBody>
    </xdr:sp>
    <xdr:clientData/>
  </xdr:twoCellAnchor>
  <xdr:twoCellAnchor>
    <xdr:from>
      <xdr:col>13</xdr:col>
      <xdr:colOff>0</xdr:colOff>
      <xdr:row>11</xdr:row>
      <xdr:rowOff>0</xdr:rowOff>
    </xdr:from>
    <xdr:to>
      <xdr:col>17</xdr:col>
      <xdr:colOff>180975</xdr:colOff>
      <xdr:row>14</xdr:row>
      <xdr:rowOff>428626</xdr:rowOff>
    </xdr:to>
    <xdr:sp macro="" textlink="">
      <xdr:nvSpPr>
        <xdr:cNvPr id="6" name="テキスト ボックス 5">
          <a:extLst>
            <a:ext uri="{FF2B5EF4-FFF2-40B4-BE49-F238E27FC236}">
              <a16:creationId xmlns:a16="http://schemas.microsoft.com/office/drawing/2014/main" id="{72FDBE4F-0F21-4CF0-B45F-A8432287DE99}"/>
            </a:ext>
          </a:extLst>
        </xdr:cNvPr>
        <xdr:cNvSpPr txBox="1"/>
      </xdr:nvSpPr>
      <xdr:spPr>
        <a:xfrm>
          <a:off x="10344150" y="2276475"/>
          <a:ext cx="2809875" cy="105727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事例は、</a:t>
          </a:r>
          <a:r>
            <a:rPr kumimoji="1" lang="en-US" altLang="ja-JP" sz="1100">
              <a:solidFill>
                <a:srgbClr val="FF0000"/>
              </a:solidFill>
            </a:rPr>
            <a:t>2024</a:t>
          </a:r>
          <a:r>
            <a:rPr kumimoji="1" lang="ja-JP" altLang="en-US" sz="1100">
              <a:solidFill>
                <a:srgbClr val="FF0000"/>
              </a:solidFill>
            </a:rPr>
            <a:t>年度公募の提案書ファイル</a:t>
          </a:r>
          <a:r>
            <a:rPr kumimoji="1" lang="en-US" altLang="ja-JP" sz="1100">
              <a:solidFill>
                <a:srgbClr val="FF0000"/>
              </a:solidFill>
            </a:rPr>
            <a:t>B</a:t>
          </a:r>
          <a:r>
            <a:rPr kumimoji="1" lang="ja-JP" altLang="en-US" sz="1100">
              <a:solidFill>
                <a:srgbClr val="FF0000"/>
              </a:solidFill>
            </a:rPr>
            <a:t>フォーマットに記載しています。最新の公募のフォーマットとは異なるので、ご留意ください。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291353</xdr:colOff>
      <xdr:row>14</xdr:row>
      <xdr:rowOff>324969</xdr:rowOff>
    </xdr:from>
    <xdr:to>
      <xdr:col>10</xdr:col>
      <xdr:colOff>1255059</xdr:colOff>
      <xdr:row>14</xdr:row>
      <xdr:rowOff>4997822</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3</xdr:row>
      <xdr:rowOff>0</xdr:rowOff>
    </xdr:from>
    <xdr:to>
      <xdr:col>18</xdr:col>
      <xdr:colOff>423334</xdr:colOff>
      <xdr:row>10</xdr:row>
      <xdr:rowOff>60438</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4150" y="447675"/>
          <a:ext cx="3671359" cy="17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209551</xdr:colOff>
      <xdr:row>68</xdr:row>
      <xdr:rowOff>2551215</xdr:rowOff>
    </xdr:from>
    <xdr:to>
      <xdr:col>7</xdr:col>
      <xdr:colOff>257176</xdr:colOff>
      <xdr:row>68</xdr:row>
      <xdr:rowOff>5000625</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76" y="30611865"/>
          <a:ext cx="4076700" cy="2449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1104900</xdr:colOff>
      <xdr:row>68</xdr:row>
      <xdr:rowOff>3267075</xdr:rowOff>
    </xdr:from>
    <xdr:to>
      <xdr:col>10</xdr:col>
      <xdr:colOff>990600</xdr:colOff>
      <xdr:row>68</xdr:row>
      <xdr:rowOff>4076700</xdr:rowOff>
    </xdr:to>
    <xdr:pic>
      <xdr:nvPicPr>
        <xdr:cNvPr id="4" name="図 3">
          <a:extLst>
            <a:ext uri="{FF2B5EF4-FFF2-40B4-BE49-F238E27FC236}">
              <a16:creationId xmlns:a16="http://schemas.microsoft.com/office/drawing/2014/main" id="{367174C6-2D4F-DEB4-CBC5-7A7FF47932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91300" y="31327725"/>
          <a:ext cx="26955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8</xdr:col>
      <xdr:colOff>568325</xdr:colOff>
      <xdr:row>3</xdr:row>
      <xdr:rowOff>7408</xdr:rowOff>
    </xdr:to>
    <xdr:sp macro="" textlink="">
      <xdr:nvSpPr>
        <xdr:cNvPr id="5" name="正方形/長方形 4">
          <a:extLst>
            <a:ext uri="{FF2B5EF4-FFF2-40B4-BE49-F238E27FC236}">
              <a16:creationId xmlns:a16="http://schemas.microsoft.com/office/drawing/2014/main" id="{7C618353-85D4-4E58-81FB-E0E24EAE9165}"/>
            </a:ext>
          </a:extLst>
        </xdr:cNvPr>
        <xdr:cNvSpPr/>
      </xdr:nvSpPr>
      <xdr:spPr>
        <a:xfrm>
          <a:off x="0" y="0"/>
          <a:ext cx="7397750" cy="45508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事例⑦</a:t>
          </a:r>
          <a:r>
            <a:rPr kumimoji="1" lang="en-US" altLang="ja-JP" sz="1600" b="1">
              <a:solidFill>
                <a:sysClr val="windowText" lastClr="000000"/>
              </a:solidFill>
            </a:rPr>
            <a:t>.</a:t>
          </a:r>
          <a:r>
            <a:rPr kumimoji="1" lang="en-US" altLang="ja-JP" sz="1600" b="1" baseline="0">
              <a:solidFill>
                <a:sysClr val="windowText" lastClr="000000"/>
              </a:solidFill>
            </a:rPr>
            <a:t> </a:t>
          </a:r>
          <a:r>
            <a:rPr kumimoji="1" lang="ja-JP" altLang="en-US" sz="1600" b="1">
              <a:solidFill>
                <a:sysClr val="windowText" lastClr="000000"/>
              </a:solidFill>
            </a:rPr>
            <a:t>大型有機</a:t>
          </a:r>
          <a:r>
            <a:rPr kumimoji="1" lang="en-US" altLang="ja-JP" sz="1600" b="1">
              <a:solidFill>
                <a:sysClr val="windowText" lastClr="000000"/>
              </a:solidFill>
            </a:rPr>
            <a:t>EL</a:t>
          </a:r>
          <a:r>
            <a:rPr kumimoji="1" lang="ja-JP" altLang="en-US" sz="1600" b="1">
              <a:solidFill>
                <a:sysClr val="windowText" lastClr="000000"/>
              </a:solidFill>
            </a:rPr>
            <a:t>テレビの技術開発</a:t>
          </a:r>
        </a:p>
      </xdr:txBody>
    </xdr:sp>
    <xdr:clientData/>
  </xdr:twoCellAnchor>
  <xdr:twoCellAnchor>
    <xdr:from>
      <xdr:col>13</xdr:col>
      <xdr:colOff>0</xdr:colOff>
      <xdr:row>11</xdr:row>
      <xdr:rowOff>0</xdr:rowOff>
    </xdr:from>
    <xdr:to>
      <xdr:col>17</xdr:col>
      <xdr:colOff>180975</xdr:colOff>
      <xdr:row>14</xdr:row>
      <xdr:rowOff>428626</xdr:rowOff>
    </xdr:to>
    <xdr:sp macro="" textlink="">
      <xdr:nvSpPr>
        <xdr:cNvPr id="6" name="テキスト ボックス 5">
          <a:extLst>
            <a:ext uri="{FF2B5EF4-FFF2-40B4-BE49-F238E27FC236}">
              <a16:creationId xmlns:a16="http://schemas.microsoft.com/office/drawing/2014/main" id="{346F7B18-0780-4727-B0DC-C04329530FE9}"/>
            </a:ext>
          </a:extLst>
        </xdr:cNvPr>
        <xdr:cNvSpPr txBox="1"/>
      </xdr:nvSpPr>
      <xdr:spPr>
        <a:xfrm>
          <a:off x="10344150" y="2276475"/>
          <a:ext cx="2809875" cy="105727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事例は、</a:t>
          </a:r>
          <a:r>
            <a:rPr kumimoji="1" lang="en-US" altLang="ja-JP" sz="1100">
              <a:solidFill>
                <a:srgbClr val="FF0000"/>
              </a:solidFill>
            </a:rPr>
            <a:t>2024</a:t>
          </a:r>
          <a:r>
            <a:rPr kumimoji="1" lang="ja-JP" altLang="en-US" sz="1100">
              <a:solidFill>
                <a:srgbClr val="FF0000"/>
              </a:solidFill>
            </a:rPr>
            <a:t>年度公募の提案書ファイル</a:t>
          </a:r>
          <a:r>
            <a:rPr kumimoji="1" lang="en-US" altLang="ja-JP" sz="1100">
              <a:solidFill>
                <a:srgbClr val="FF0000"/>
              </a:solidFill>
            </a:rPr>
            <a:t>B</a:t>
          </a:r>
          <a:r>
            <a:rPr kumimoji="1" lang="ja-JP" altLang="en-US" sz="1100">
              <a:solidFill>
                <a:srgbClr val="FF0000"/>
              </a:solidFill>
            </a:rPr>
            <a:t>フォーマットに記載しています。最新の公募のフォーマットとは異なるので、ご留意ください。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291353</xdr:colOff>
      <xdr:row>14</xdr:row>
      <xdr:rowOff>324969</xdr:rowOff>
    </xdr:from>
    <xdr:to>
      <xdr:col>10</xdr:col>
      <xdr:colOff>1255059</xdr:colOff>
      <xdr:row>14</xdr:row>
      <xdr:rowOff>4997822</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3</xdr:row>
      <xdr:rowOff>0</xdr:rowOff>
    </xdr:from>
    <xdr:to>
      <xdr:col>18</xdr:col>
      <xdr:colOff>423334</xdr:colOff>
      <xdr:row>10</xdr:row>
      <xdr:rowOff>60438</xdr:rowOff>
    </xdr:to>
    <xdr:pic>
      <xdr:nvPicPr>
        <xdr:cNvPr id="3" name="図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4150" y="447675"/>
          <a:ext cx="3671359" cy="17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497417</xdr:colOff>
      <xdr:row>68</xdr:row>
      <xdr:rowOff>3397246</xdr:rowOff>
    </xdr:from>
    <xdr:ext cx="3788833" cy="344453"/>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5983817" y="31457896"/>
          <a:ext cx="3788833" cy="34445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en-US" altLang="ja-JP" sz="1100"/>
            <a:t>https://www.turbomachinerymag.com/view/worldwide-market-report-2020-proved-to-be-an-interesting-year-for-gas-turbines</a:t>
          </a:r>
          <a:endParaRPr kumimoji="1" lang="ja-JP" altLang="en-US" sz="1100"/>
        </a:p>
      </xdr:txBody>
    </xdr:sp>
    <xdr:clientData/>
  </xdr:oneCellAnchor>
  <xdr:oneCellAnchor>
    <xdr:from>
      <xdr:col>4</xdr:col>
      <xdr:colOff>127000</xdr:colOff>
      <xdr:row>68</xdr:row>
      <xdr:rowOff>3820579</xdr:rowOff>
    </xdr:from>
    <xdr:ext cx="3113087" cy="172227"/>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1584325" y="31881229"/>
          <a:ext cx="3113087" cy="17222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spAutoFit/>
        </a:bodyPr>
        <a:lstStyle/>
        <a:p>
          <a:r>
            <a:rPr kumimoji="1" lang="en-US" altLang="ja-JP" sz="1100"/>
            <a:t>https://www.ace.or.jp/web/works/works_0060.html</a:t>
          </a:r>
          <a:endParaRPr kumimoji="1" lang="ja-JP" altLang="en-US" sz="1100"/>
        </a:p>
      </xdr:txBody>
    </xdr:sp>
    <xdr:clientData/>
  </xdr:oneCellAnchor>
  <xdr:twoCellAnchor editAs="oneCell">
    <xdr:from>
      <xdr:col>7</xdr:col>
      <xdr:colOff>21596</xdr:colOff>
      <xdr:row>68</xdr:row>
      <xdr:rowOff>959910</xdr:rowOff>
    </xdr:from>
    <xdr:to>
      <xdr:col>10</xdr:col>
      <xdr:colOff>1671107</xdr:colOff>
      <xdr:row>68</xdr:row>
      <xdr:rowOff>3362326</xdr:rowOff>
    </xdr:to>
    <xdr:pic>
      <xdr:nvPicPr>
        <xdr:cNvPr id="8" name="図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07996" y="29020560"/>
          <a:ext cx="4459386" cy="2402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68</xdr:row>
      <xdr:rowOff>695325</xdr:rowOff>
    </xdr:from>
    <xdr:to>
      <xdr:col>6</xdr:col>
      <xdr:colOff>1281215</xdr:colOff>
      <xdr:row>68</xdr:row>
      <xdr:rowOff>3796241</xdr:rowOff>
    </xdr:to>
    <xdr:pic>
      <xdr:nvPicPr>
        <xdr:cNvPr id="9" name="図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19150" y="28755975"/>
          <a:ext cx="4605440" cy="3100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8</xdr:col>
      <xdr:colOff>568325</xdr:colOff>
      <xdr:row>3</xdr:row>
      <xdr:rowOff>7408</xdr:rowOff>
    </xdr:to>
    <xdr:sp macro="" textlink="">
      <xdr:nvSpPr>
        <xdr:cNvPr id="4" name="正方形/長方形 3">
          <a:extLst>
            <a:ext uri="{FF2B5EF4-FFF2-40B4-BE49-F238E27FC236}">
              <a16:creationId xmlns:a16="http://schemas.microsoft.com/office/drawing/2014/main" id="{DD9E1D21-D549-4EA1-9B5C-5A96112B86B7}"/>
            </a:ext>
          </a:extLst>
        </xdr:cNvPr>
        <xdr:cNvSpPr/>
      </xdr:nvSpPr>
      <xdr:spPr>
        <a:xfrm>
          <a:off x="0" y="0"/>
          <a:ext cx="7397750" cy="45508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事例⑧</a:t>
          </a:r>
          <a:r>
            <a:rPr kumimoji="1" lang="en-US" altLang="ja-JP" sz="1600" b="1">
              <a:solidFill>
                <a:sysClr val="windowText" lastClr="000000"/>
              </a:solidFill>
            </a:rPr>
            <a:t>.</a:t>
          </a:r>
          <a:r>
            <a:rPr kumimoji="1" lang="en-US" altLang="ja-JP" sz="1600" b="1" baseline="0">
              <a:solidFill>
                <a:sysClr val="windowText" lastClr="000000"/>
              </a:solidFill>
            </a:rPr>
            <a:t> </a:t>
          </a:r>
          <a:r>
            <a:rPr kumimoji="1" lang="ja-JP" altLang="en-US" sz="1600" b="1">
              <a:solidFill>
                <a:sysClr val="windowText" lastClr="000000"/>
              </a:solidFill>
            </a:rPr>
            <a:t>ガスタービン（</a:t>
          </a:r>
          <a:r>
            <a:rPr kumimoji="1" lang="en-US" altLang="ja-JP" sz="1600" b="1">
              <a:solidFill>
                <a:sysClr val="windowText" lastClr="000000"/>
              </a:solidFill>
            </a:rPr>
            <a:t>GT</a:t>
          </a:r>
          <a:r>
            <a:rPr kumimoji="1" lang="ja-JP" altLang="en-US" sz="1600" b="1">
              <a:solidFill>
                <a:sysClr val="windowText" lastClr="000000"/>
              </a:solidFill>
            </a:rPr>
            <a:t>）の開発</a:t>
          </a:r>
        </a:p>
      </xdr:txBody>
    </xdr:sp>
    <xdr:clientData/>
  </xdr:twoCellAnchor>
  <xdr:twoCellAnchor>
    <xdr:from>
      <xdr:col>13</xdr:col>
      <xdr:colOff>0</xdr:colOff>
      <xdr:row>11</xdr:row>
      <xdr:rowOff>0</xdr:rowOff>
    </xdr:from>
    <xdr:to>
      <xdr:col>17</xdr:col>
      <xdr:colOff>180975</xdr:colOff>
      <xdr:row>14</xdr:row>
      <xdr:rowOff>428626</xdr:rowOff>
    </xdr:to>
    <xdr:sp macro="" textlink="">
      <xdr:nvSpPr>
        <xdr:cNvPr id="6" name="テキスト ボックス 5">
          <a:extLst>
            <a:ext uri="{FF2B5EF4-FFF2-40B4-BE49-F238E27FC236}">
              <a16:creationId xmlns:a16="http://schemas.microsoft.com/office/drawing/2014/main" id="{80DD9369-7FD8-4DB0-BA5B-33D1B66419AA}"/>
            </a:ext>
          </a:extLst>
        </xdr:cNvPr>
        <xdr:cNvSpPr txBox="1"/>
      </xdr:nvSpPr>
      <xdr:spPr>
        <a:xfrm>
          <a:off x="10344150" y="2276475"/>
          <a:ext cx="2809875" cy="105727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事例は、</a:t>
          </a:r>
          <a:r>
            <a:rPr kumimoji="1" lang="en-US" altLang="ja-JP" sz="1100">
              <a:solidFill>
                <a:srgbClr val="FF0000"/>
              </a:solidFill>
            </a:rPr>
            <a:t>2024</a:t>
          </a:r>
          <a:r>
            <a:rPr kumimoji="1" lang="ja-JP" altLang="en-US" sz="1100">
              <a:solidFill>
                <a:srgbClr val="FF0000"/>
              </a:solidFill>
            </a:rPr>
            <a:t>年度公募の提案書ファイル</a:t>
          </a:r>
          <a:r>
            <a:rPr kumimoji="1" lang="en-US" altLang="ja-JP" sz="1100">
              <a:solidFill>
                <a:srgbClr val="FF0000"/>
              </a:solidFill>
            </a:rPr>
            <a:t>B</a:t>
          </a:r>
          <a:r>
            <a:rPr kumimoji="1" lang="ja-JP" altLang="en-US" sz="1100">
              <a:solidFill>
                <a:srgbClr val="FF0000"/>
              </a:solidFill>
            </a:rPr>
            <a:t>フォーマットに記載しています。最新の公募のフォーマットとは異なるので、ご留意ください。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0</xdr:colOff>
      <xdr:row>3</xdr:row>
      <xdr:rowOff>0</xdr:rowOff>
    </xdr:from>
    <xdr:to>
      <xdr:col>18</xdr:col>
      <xdr:colOff>423334</xdr:colOff>
      <xdr:row>10</xdr:row>
      <xdr:rowOff>60438</xdr:rowOff>
    </xdr:to>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44150" y="447675"/>
          <a:ext cx="3671359" cy="17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523875</xdr:colOff>
      <xdr:row>68</xdr:row>
      <xdr:rowOff>2584064</xdr:rowOff>
    </xdr:from>
    <xdr:to>
      <xdr:col>7</xdr:col>
      <xdr:colOff>847725</xdr:colOff>
      <xdr:row>68</xdr:row>
      <xdr:rowOff>4786526</xdr:rowOff>
    </xdr:to>
    <xdr:pic>
      <xdr:nvPicPr>
        <xdr:cNvPr id="4" name="図 3">
          <a:extLst>
            <a:ext uri="{FF2B5EF4-FFF2-40B4-BE49-F238E27FC236}">
              <a16:creationId xmlns:a16="http://schemas.microsoft.com/office/drawing/2014/main" id="{0BBD3A02-1EC1-4221-17F6-E146AFB778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4158" y="30653825"/>
          <a:ext cx="5036654" cy="2202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361950</xdr:colOff>
      <xdr:row>68</xdr:row>
      <xdr:rowOff>4824626</xdr:rowOff>
    </xdr:from>
    <xdr:ext cx="4043085" cy="172227"/>
    <xdr:sp macro="" textlink="">
      <xdr:nvSpPr>
        <xdr:cNvPr id="5" name="テキスト ボックス 4">
          <a:extLst>
            <a:ext uri="{FF2B5EF4-FFF2-40B4-BE49-F238E27FC236}">
              <a16:creationId xmlns:a16="http://schemas.microsoft.com/office/drawing/2014/main" id="{CAD1C740-4CF0-D1C2-EE0E-695BEA9916AB}"/>
            </a:ext>
          </a:extLst>
        </xdr:cNvPr>
        <xdr:cNvSpPr txBox="1"/>
      </xdr:nvSpPr>
      <xdr:spPr>
        <a:xfrm>
          <a:off x="1819689" y="32894387"/>
          <a:ext cx="4043085" cy="172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spAutoFit/>
        </a:bodyPr>
        <a:lstStyle/>
        <a:p>
          <a:r>
            <a:rPr kumimoji="1" lang="en-US" altLang="ja-JP" sz="1100"/>
            <a:t>https://www.hptcj.or.jp/index/newsrelease/tabid/1931/Default.aspx</a:t>
          </a:r>
          <a:endParaRPr kumimoji="1" lang="ja-JP" altLang="en-US" sz="1100"/>
        </a:p>
      </xdr:txBody>
    </xdr:sp>
    <xdr:clientData/>
  </xdr:oneCellAnchor>
  <xdr:twoCellAnchor editAs="oneCell">
    <xdr:from>
      <xdr:col>7</xdr:col>
      <xdr:colOff>350401</xdr:colOff>
      <xdr:row>41</xdr:row>
      <xdr:rowOff>600074</xdr:rowOff>
    </xdr:from>
    <xdr:to>
      <xdr:col>10</xdr:col>
      <xdr:colOff>1657350</xdr:colOff>
      <xdr:row>41</xdr:row>
      <xdr:rowOff>3124199</xdr:rowOff>
    </xdr:to>
    <xdr:pic>
      <xdr:nvPicPr>
        <xdr:cNvPr id="6" name="図 5">
          <a:extLst>
            <a:ext uri="{FF2B5EF4-FFF2-40B4-BE49-F238E27FC236}">
              <a16:creationId xmlns:a16="http://schemas.microsoft.com/office/drawing/2014/main" id="{7CEE0A04-8673-1BD9-EE28-3962843471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36801" y="17792699"/>
          <a:ext cx="4116824" cy="252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514350</xdr:colOff>
      <xdr:row>41</xdr:row>
      <xdr:rowOff>3200400</xdr:rowOff>
    </xdr:from>
    <xdr:ext cx="3713636" cy="172227"/>
    <xdr:sp macro="" textlink="">
      <xdr:nvSpPr>
        <xdr:cNvPr id="7" name="テキスト ボックス 6">
          <a:extLst>
            <a:ext uri="{FF2B5EF4-FFF2-40B4-BE49-F238E27FC236}">
              <a16:creationId xmlns:a16="http://schemas.microsoft.com/office/drawing/2014/main" id="{C2A2C626-5CCE-31B0-9B6D-1A8C36A528A5}"/>
            </a:ext>
          </a:extLst>
        </xdr:cNvPr>
        <xdr:cNvSpPr txBox="1"/>
      </xdr:nvSpPr>
      <xdr:spPr>
        <a:xfrm>
          <a:off x="6000750" y="20393025"/>
          <a:ext cx="3713636" cy="172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36000" bIns="0" rtlCol="0" anchor="t">
          <a:spAutoFit/>
        </a:bodyPr>
        <a:lstStyle/>
        <a:p>
          <a:r>
            <a:rPr kumimoji="1" lang="en-US" altLang="ja-JP" sz="1100"/>
            <a:t>https://tenbou.nies.go.jp/science/description/detail.php?id=11</a:t>
          </a:r>
          <a:endParaRPr kumimoji="1" lang="ja-JP" altLang="en-US" sz="1100"/>
        </a:p>
      </xdr:txBody>
    </xdr:sp>
    <xdr:clientData/>
  </xdr:oneCellAnchor>
  <xdr:twoCellAnchor>
    <xdr:from>
      <xdr:col>10</xdr:col>
      <xdr:colOff>104775</xdr:colOff>
      <xdr:row>41</xdr:row>
      <xdr:rowOff>1838325</xdr:rowOff>
    </xdr:from>
    <xdr:to>
      <xdr:col>10</xdr:col>
      <xdr:colOff>1438275</xdr:colOff>
      <xdr:row>41</xdr:row>
      <xdr:rowOff>2305050</xdr:rowOff>
    </xdr:to>
    <xdr:sp macro="" textlink="">
      <xdr:nvSpPr>
        <xdr:cNvPr id="10" name="楕円 9">
          <a:extLst>
            <a:ext uri="{FF2B5EF4-FFF2-40B4-BE49-F238E27FC236}">
              <a16:creationId xmlns:a16="http://schemas.microsoft.com/office/drawing/2014/main" id="{1B943953-037D-EE7A-DD9F-7AD47E5B0DEC}"/>
            </a:ext>
          </a:extLst>
        </xdr:cNvPr>
        <xdr:cNvSpPr/>
      </xdr:nvSpPr>
      <xdr:spPr>
        <a:xfrm>
          <a:off x="8401050" y="19030950"/>
          <a:ext cx="1333500" cy="466725"/>
        </a:xfrm>
        <a:prstGeom prst="ellipse">
          <a:avLst/>
        </a:prstGeom>
        <a:noFill/>
        <a:ln w="254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0</xdr:rowOff>
    </xdr:from>
    <xdr:to>
      <xdr:col>8</xdr:col>
      <xdr:colOff>568325</xdr:colOff>
      <xdr:row>3</xdr:row>
      <xdr:rowOff>7408</xdr:rowOff>
    </xdr:to>
    <xdr:sp macro="" textlink="">
      <xdr:nvSpPr>
        <xdr:cNvPr id="2" name="正方形/長方形 1">
          <a:extLst>
            <a:ext uri="{FF2B5EF4-FFF2-40B4-BE49-F238E27FC236}">
              <a16:creationId xmlns:a16="http://schemas.microsoft.com/office/drawing/2014/main" id="{7E7C8D54-30D1-4C39-97E1-22749844F50E}"/>
            </a:ext>
          </a:extLst>
        </xdr:cNvPr>
        <xdr:cNvSpPr/>
      </xdr:nvSpPr>
      <xdr:spPr>
        <a:xfrm>
          <a:off x="0" y="0"/>
          <a:ext cx="7403913" cy="45564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事例⑨</a:t>
          </a:r>
          <a:r>
            <a:rPr kumimoji="1" lang="en-US" altLang="ja-JP" sz="1600" b="1">
              <a:solidFill>
                <a:sysClr val="windowText" lastClr="000000"/>
              </a:solidFill>
            </a:rPr>
            <a:t>.</a:t>
          </a:r>
          <a:r>
            <a:rPr kumimoji="1" lang="en-US" altLang="ja-JP" sz="1600" b="1" baseline="0">
              <a:solidFill>
                <a:sysClr val="windowText" lastClr="000000"/>
              </a:solidFill>
            </a:rPr>
            <a:t> </a:t>
          </a:r>
          <a:r>
            <a:rPr kumimoji="1" lang="ja-JP" altLang="en-US" sz="1600" b="1">
              <a:solidFill>
                <a:sysClr val="windowText" lastClr="000000"/>
              </a:solidFill>
            </a:rPr>
            <a:t>家庭用小型ヒートポンプ給湯器</a:t>
          </a:r>
        </a:p>
      </xdr:txBody>
    </xdr:sp>
    <xdr:clientData/>
  </xdr:twoCellAnchor>
  <xdr:twoCellAnchor>
    <xdr:from>
      <xdr:col>2</xdr:col>
      <xdr:colOff>235323</xdr:colOff>
      <xdr:row>14</xdr:row>
      <xdr:rowOff>302560</xdr:rowOff>
    </xdr:from>
    <xdr:to>
      <xdr:col>10</xdr:col>
      <xdr:colOff>1192305</xdr:colOff>
      <xdr:row>14</xdr:row>
      <xdr:rowOff>4975413</xdr:rowOff>
    </xdr:to>
    <xdr:graphicFrame macro="">
      <xdr:nvGraphicFramePr>
        <xdr:cNvPr id="8" name="グラフ 7">
          <a:extLst>
            <a:ext uri="{FF2B5EF4-FFF2-40B4-BE49-F238E27FC236}">
              <a16:creationId xmlns:a16="http://schemas.microsoft.com/office/drawing/2014/main" id="{1AC53A8F-2127-4225-A38E-87AF98A92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11</xdr:row>
      <xdr:rowOff>0</xdr:rowOff>
    </xdr:from>
    <xdr:to>
      <xdr:col>17</xdr:col>
      <xdr:colOff>180975</xdr:colOff>
      <xdr:row>14</xdr:row>
      <xdr:rowOff>428626</xdr:rowOff>
    </xdr:to>
    <xdr:sp macro="" textlink="">
      <xdr:nvSpPr>
        <xdr:cNvPr id="11" name="テキスト ボックス 10">
          <a:extLst>
            <a:ext uri="{FF2B5EF4-FFF2-40B4-BE49-F238E27FC236}">
              <a16:creationId xmlns:a16="http://schemas.microsoft.com/office/drawing/2014/main" id="{D04034D1-783B-4563-AB48-2DBB1CDBDE9C}"/>
            </a:ext>
          </a:extLst>
        </xdr:cNvPr>
        <xdr:cNvSpPr txBox="1"/>
      </xdr:nvSpPr>
      <xdr:spPr>
        <a:xfrm>
          <a:off x="10344150" y="2276475"/>
          <a:ext cx="2809875" cy="105727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事例は、</a:t>
          </a:r>
          <a:r>
            <a:rPr kumimoji="1" lang="en-US" altLang="ja-JP" sz="1100">
              <a:solidFill>
                <a:srgbClr val="FF0000"/>
              </a:solidFill>
            </a:rPr>
            <a:t>2024</a:t>
          </a:r>
          <a:r>
            <a:rPr kumimoji="1" lang="ja-JP" altLang="en-US" sz="1100">
              <a:solidFill>
                <a:srgbClr val="FF0000"/>
              </a:solidFill>
            </a:rPr>
            <a:t>年度公募の提案書ファイル</a:t>
          </a:r>
          <a:r>
            <a:rPr kumimoji="1" lang="en-US" altLang="ja-JP" sz="1100">
              <a:solidFill>
                <a:srgbClr val="FF0000"/>
              </a:solidFill>
            </a:rPr>
            <a:t>B</a:t>
          </a:r>
          <a:r>
            <a:rPr kumimoji="1" lang="ja-JP" altLang="en-US" sz="1100">
              <a:solidFill>
                <a:srgbClr val="FF0000"/>
              </a:solidFill>
            </a:rPr>
            <a:t>フォーマットに記載しています。最新の公募のフォーマットとは異なるので、ご留意ください。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80E9-D6CE-4DC9-ACE8-903614D9E909}">
  <dimension ref="A1:B10"/>
  <sheetViews>
    <sheetView tabSelected="1" zoomScaleNormal="100" workbookViewId="0"/>
  </sheetViews>
  <sheetFormatPr defaultRowHeight="18.75"/>
  <cols>
    <col min="1" max="1" width="4" customWidth="1"/>
  </cols>
  <sheetData>
    <row r="1" spans="1:2">
      <c r="A1" t="s">
        <v>128</v>
      </c>
    </row>
    <row r="2" spans="1:2">
      <c r="B2" s="96" t="s">
        <v>130</v>
      </c>
    </row>
    <row r="3" spans="1:2">
      <c r="B3" s="96" t="s">
        <v>137</v>
      </c>
    </row>
    <row r="4" spans="1:2">
      <c r="B4" s="96" t="s">
        <v>131</v>
      </c>
    </row>
    <row r="5" spans="1:2">
      <c r="B5" s="96" t="s">
        <v>132</v>
      </c>
    </row>
    <row r="6" spans="1:2">
      <c r="B6" s="96" t="s">
        <v>129</v>
      </c>
    </row>
    <row r="7" spans="1:2">
      <c r="B7" s="96" t="s">
        <v>133</v>
      </c>
    </row>
    <row r="8" spans="1:2">
      <c r="B8" s="96" t="s">
        <v>134</v>
      </c>
    </row>
    <row r="9" spans="1:2">
      <c r="B9" s="96" t="s">
        <v>135</v>
      </c>
    </row>
    <row r="10" spans="1:2">
      <c r="B10" s="96" t="s">
        <v>136</v>
      </c>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D8F3D-A7D7-407C-AC00-933FFC09CCD1}">
  <sheetPr>
    <pageSetUpPr fitToPage="1"/>
  </sheetPr>
  <dimension ref="A1:U308"/>
  <sheetViews>
    <sheetView zoomScaleNormal="100" workbookViewId="0"/>
  </sheetViews>
  <sheetFormatPr defaultRowHeight="18.75" outlineLevelRow="1"/>
  <cols>
    <col min="1" max="1" width="1.625" style="4" customWidth="1"/>
    <col min="2" max="3" width="4.25" style="4" customWidth="1"/>
    <col min="4" max="4" width="9" style="4"/>
    <col min="5" max="9" width="17.625" style="4" customWidth="1"/>
    <col min="10" max="10" width="1.625" style="16" customWidth="1"/>
    <col min="11" max="11" width="22.625" style="4" customWidth="1"/>
    <col min="12" max="12" width="1.625" style="4" customWidth="1"/>
    <col min="13" max="13" width="2.625" style="4" customWidth="1"/>
    <col min="14" max="14" width="8.625" style="9" customWidth="1"/>
    <col min="15" max="17" width="8.625" style="4" customWidth="1"/>
    <col min="18" max="25" width="8.125" style="4" customWidth="1"/>
    <col min="26" max="16384" width="9" style="4"/>
  </cols>
  <sheetData>
    <row r="1" spans="2:14" ht="5.25" customHeight="1" thickBot="1">
      <c r="B1" s="1"/>
      <c r="C1" s="1"/>
      <c r="D1" s="1"/>
      <c r="E1" s="1"/>
      <c r="F1" s="1"/>
      <c r="G1" s="1"/>
      <c r="H1" s="1"/>
      <c r="I1" s="1"/>
      <c r="J1" s="2"/>
      <c r="K1" s="1"/>
      <c r="L1" s="1"/>
      <c r="M1" s="1"/>
      <c r="N1" s="3"/>
    </row>
    <row r="2" spans="2:14" ht="15" customHeight="1" thickBot="1">
      <c r="B2" s="1"/>
      <c r="C2" s="1"/>
      <c r="E2" s="5"/>
      <c r="F2" s="3"/>
      <c r="G2" s="6"/>
      <c r="H2" s="1"/>
      <c r="J2" s="7" t="s">
        <v>0</v>
      </c>
      <c r="K2" s="8"/>
      <c r="L2" s="1"/>
      <c r="M2" s="1"/>
      <c r="N2" s="3"/>
    </row>
    <row r="3" spans="2:14" ht="15" customHeight="1">
      <c r="B3" s="1"/>
      <c r="C3" s="1"/>
      <c r="D3" s="9"/>
      <c r="E3" s="5"/>
      <c r="F3" s="6"/>
      <c r="H3" s="1"/>
      <c r="J3" s="2"/>
      <c r="K3" s="7" t="s">
        <v>123</v>
      </c>
      <c r="L3" s="1"/>
      <c r="M3" s="1"/>
      <c r="N3" s="10"/>
    </row>
    <row r="4" spans="2:14" s="5" customFormat="1" ht="15" customHeight="1">
      <c r="B4" s="11" t="s">
        <v>1</v>
      </c>
      <c r="C4" s="6"/>
      <c r="D4" s="6"/>
      <c r="E4" s="10"/>
      <c r="F4" s="6"/>
      <c r="G4" s="6"/>
      <c r="J4" s="12"/>
      <c r="K4" s="6"/>
      <c r="L4" s="6"/>
      <c r="M4" s="13"/>
      <c r="N4" s="3"/>
    </row>
    <row r="5" spans="2:14" ht="20.100000000000001" customHeight="1">
      <c r="B5" s="97" t="s">
        <v>2</v>
      </c>
      <c r="C5" s="97"/>
      <c r="D5" s="97"/>
      <c r="E5" s="97"/>
      <c r="F5" s="97"/>
      <c r="G5" s="97"/>
      <c r="H5" s="97"/>
      <c r="I5" s="97"/>
      <c r="J5" s="97"/>
      <c r="K5" s="97"/>
      <c r="L5" s="1"/>
      <c r="M5" s="14"/>
      <c r="N5" s="3"/>
    </row>
    <row r="6" spans="2:14" ht="20.100000000000001" customHeight="1" thickBot="1">
      <c r="B6" s="15" t="s">
        <v>3</v>
      </c>
      <c r="H6" s="1"/>
      <c r="I6" s="1"/>
    </row>
    <row r="7" spans="2:14" s="5" customFormat="1" ht="15" customHeight="1" thickBot="1">
      <c r="B7" s="17"/>
      <c r="C7" s="5" t="s">
        <v>4</v>
      </c>
      <c r="E7" s="5" t="s">
        <v>5</v>
      </c>
      <c r="G7" s="18" t="s">
        <v>6</v>
      </c>
      <c r="H7" s="6"/>
      <c r="I7" s="6"/>
      <c r="J7" s="19"/>
      <c r="N7" s="9"/>
    </row>
    <row r="8" spans="2:14" s="5" customFormat="1" ht="15" customHeight="1" thickBot="1">
      <c r="B8" s="17"/>
      <c r="E8" s="5" t="s">
        <v>7</v>
      </c>
      <c r="G8" s="18" t="s">
        <v>8</v>
      </c>
      <c r="H8" s="6"/>
      <c r="I8" s="6"/>
      <c r="J8" s="19"/>
      <c r="N8" s="9"/>
    </row>
    <row r="9" spans="2:14" s="5" customFormat="1" ht="15" customHeight="1" thickBot="1">
      <c r="B9" s="17"/>
      <c r="E9" s="5" t="s">
        <v>9</v>
      </c>
      <c r="G9" s="18" t="s">
        <v>10</v>
      </c>
      <c r="H9" s="6"/>
      <c r="I9" s="6"/>
      <c r="J9" s="19"/>
      <c r="N9" s="9"/>
    </row>
    <row r="10" spans="2:14" s="5" customFormat="1" ht="15" customHeight="1" thickBot="1">
      <c r="C10" s="5" t="s">
        <v>11</v>
      </c>
      <c r="J10" s="19"/>
      <c r="N10" s="9"/>
    </row>
    <row r="11" spans="2:14" ht="30" customHeight="1" thickTop="1" thickBot="1">
      <c r="D11" s="5" t="s">
        <v>12</v>
      </c>
      <c r="E11" s="5"/>
      <c r="F11" s="98" t="e">
        <f>F26+#REF!+#REF!+#REF!</f>
        <v>#REF!</v>
      </c>
      <c r="G11" s="99"/>
      <c r="H11" s="100"/>
      <c r="I11" s="4" t="s">
        <v>13</v>
      </c>
    </row>
    <row r="12" spans="2:14" ht="15" customHeight="1" thickTop="1" thickBot="1">
      <c r="C12" s="5" t="s">
        <v>14</v>
      </c>
      <c r="D12" s="5"/>
      <c r="E12" s="5"/>
      <c r="F12" s="5"/>
      <c r="G12" s="5"/>
      <c r="H12" s="5"/>
    </row>
    <row r="13" spans="2:14" ht="20.100000000000001" customHeight="1" thickTop="1" thickBot="1">
      <c r="D13" s="5" t="s">
        <v>12</v>
      </c>
      <c r="E13" s="5"/>
      <c r="F13" s="101" t="e">
        <f>IF(F36+#REF!+#REF!+#REF!=0,"-",F36+#REF!+#REF!+#REF!)</f>
        <v>#REF!</v>
      </c>
      <c r="G13" s="102"/>
      <c r="H13" s="103"/>
      <c r="I13" s="4" t="s">
        <v>13</v>
      </c>
    </row>
    <row r="14" spans="2:14" ht="15" customHeight="1" thickTop="1">
      <c r="C14" s="20"/>
      <c r="D14" s="5"/>
      <c r="E14" s="5"/>
      <c r="F14" s="21" t="e">
        <f>IF(F11&gt;=100,"エラー：過大の可能性がある値が記載されておりますので今一度ご確認ください。","")</f>
        <v>#REF!</v>
      </c>
      <c r="G14" s="22"/>
    </row>
    <row r="15" spans="2:14" ht="399.95" customHeight="1">
      <c r="D15" s="23"/>
    </row>
    <row r="16" spans="2:14" s="5" customFormat="1" ht="15" customHeight="1" thickBot="1">
      <c r="C16" s="104" t="s">
        <v>15</v>
      </c>
      <c r="D16" s="104"/>
      <c r="E16" s="104"/>
      <c r="F16" s="104"/>
      <c r="G16" s="104"/>
      <c r="H16" s="104"/>
      <c r="I16" s="104"/>
      <c r="J16" s="104"/>
      <c r="K16" s="104"/>
      <c r="M16" s="9"/>
      <c r="N16" s="9"/>
    </row>
    <row r="17" spans="2:21" s="5" customFormat="1" ht="150" customHeight="1">
      <c r="C17" s="162" t="s">
        <v>142</v>
      </c>
      <c r="D17" s="163"/>
      <c r="E17" s="163"/>
      <c r="F17" s="163"/>
      <c r="G17" s="163"/>
      <c r="H17" s="163"/>
      <c r="I17" s="163"/>
      <c r="J17" s="163"/>
      <c r="K17" s="164"/>
      <c r="M17" s="93"/>
      <c r="N17" s="93"/>
      <c r="O17" s="93"/>
      <c r="P17" s="93"/>
      <c r="Q17" s="93"/>
      <c r="R17" s="93"/>
      <c r="S17" s="24"/>
    </row>
    <row r="18" spans="2:21" s="5" customFormat="1" ht="150" customHeight="1" thickBot="1">
      <c r="C18" s="165"/>
      <c r="D18" s="166"/>
      <c r="E18" s="166"/>
      <c r="F18" s="166"/>
      <c r="G18" s="166"/>
      <c r="H18" s="166"/>
      <c r="I18" s="166"/>
      <c r="J18" s="166"/>
      <c r="K18" s="167"/>
      <c r="M18" s="93"/>
      <c r="N18" s="93"/>
      <c r="O18" s="93"/>
      <c r="P18" s="93"/>
      <c r="Q18" s="93"/>
      <c r="R18" s="93"/>
    </row>
    <row r="19" spans="2:21" s="5" customFormat="1" ht="6" customHeight="1">
      <c r="D19" s="25"/>
      <c r="J19" s="19"/>
      <c r="M19" s="83"/>
      <c r="N19" s="84"/>
      <c r="O19" s="83"/>
      <c r="P19" s="83"/>
      <c r="Q19" s="83"/>
      <c r="R19" s="83"/>
      <c r="S19" s="83"/>
      <c r="T19" s="83"/>
      <c r="U19" s="83"/>
    </row>
    <row r="20" spans="2:21" s="5" customFormat="1" ht="6" customHeight="1" outlineLevel="1">
      <c r="D20" s="25"/>
      <c r="J20" s="19"/>
      <c r="M20" s="83"/>
      <c r="N20" s="84"/>
      <c r="O20" s="85"/>
      <c r="P20" s="85"/>
      <c r="Q20" s="85"/>
      <c r="R20" s="85"/>
      <c r="S20" s="85"/>
      <c r="T20" s="85"/>
      <c r="U20" s="86"/>
    </row>
    <row r="21" spans="2:21" ht="20.100000000000001" customHeight="1" outlineLevel="1">
      <c r="B21" s="26" t="s">
        <v>16</v>
      </c>
      <c r="C21" s="20"/>
      <c r="D21" s="27"/>
      <c r="K21" s="7"/>
      <c r="M21" s="87"/>
      <c r="N21" s="84" t="s">
        <v>115</v>
      </c>
      <c r="O21" s="85"/>
      <c r="P21" s="85"/>
      <c r="Q21" s="85"/>
      <c r="R21" s="85"/>
      <c r="S21" s="85"/>
      <c r="T21" s="85"/>
      <c r="U21" s="83"/>
    </row>
    <row r="22" spans="2:21" ht="20.100000000000001" customHeight="1" outlineLevel="1" thickBot="1">
      <c r="B22" s="28" t="s">
        <v>17</v>
      </c>
      <c r="H22" s="1"/>
      <c r="K22" s="7" t="s">
        <v>123</v>
      </c>
      <c r="M22" s="87"/>
      <c r="N22" s="84"/>
      <c r="O22" s="84"/>
      <c r="P22" s="87" t="s">
        <v>116</v>
      </c>
      <c r="Q22" s="87" t="s">
        <v>117</v>
      </c>
      <c r="R22" s="87" t="s">
        <v>118</v>
      </c>
      <c r="S22" s="87" t="s">
        <v>119</v>
      </c>
      <c r="T22" s="87"/>
      <c r="U22" s="87"/>
    </row>
    <row r="23" spans="2:21" ht="15" customHeight="1" outlineLevel="1" thickBot="1">
      <c r="B23" s="28"/>
      <c r="C23" s="5" t="s">
        <v>18</v>
      </c>
      <c r="D23" s="5"/>
      <c r="E23" s="5"/>
      <c r="F23" s="113" t="s">
        <v>94</v>
      </c>
      <c r="G23" s="114"/>
      <c r="H23" s="115"/>
      <c r="I23" s="1"/>
      <c r="M23" s="87"/>
      <c r="N23" s="84"/>
      <c r="O23" s="88"/>
      <c r="P23" s="89" t="str">
        <f>IF(F23="","",F23)</f>
        <v>家庭用小型ヒートポンプ給湯器</v>
      </c>
      <c r="Q23" s="89" t="e">
        <f>IF(#REF!="","",#REF!)</f>
        <v>#REF!</v>
      </c>
      <c r="R23" s="89" t="e">
        <f>IF(#REF!="","",#REF!)</f>
        <v>#REF!</v>
      </c>
      <c r="S23" s="89" t="e">
        <f>IF(#REF!="","",#REF!)</f>
        <v>#REF!</v>
      </c>
      <c r="T23" s="90" t="s">
        <v>120</v>
      </c>
      <c r="U23" s="87"/>
    </row>
    <row r="24" spans="2:21" ht="15" customHeight="1" outlineLevel="1">
      <c r="B24" s="28"/>
      <c r="C24" s="5"/>
      <c r="D24" s="5"/>
      <c r="E24" s="6"/>
      <c r="F24" s="6"/>
      <c r="G24" s="6"/>
      <c r="H24" s="6"/>
      <c r="I24" s="1"/>
      <c r="M24" s="87"/>
      <c r="N24" s="84"/>
      <c r="O24" s="91">
        <v>2024</v>
      </c>
      <c r="P24" s="92">
        <f t="shared" ref="P24:P40" si="0">K77</f>
        <v>0</v>
      </c>
      <c r="Q24" s="92" t="e">
        <f>#REF!</f>
        <v>#REF!</v>
      </c>
      <c r="R24" s="92" t="e">
        <f>#REF!</f>
        <v>#REF!</v>
      </c>
      <c r="S24" s="92" t="e">
        <f>#REF!</f>
        <v>#REF!</v>
      </c>
      <c r="T24" s="90" t="e">
        <f t="shared" ref="T24:T40" si="1">SUM(P24:S24)</f>
        <v>#REF!</v>
      </c>
      <c r="U24" s="87"/>
    </row>
    <row r="25" spans="2:21" ht="15" customHeight="1" outlineLevel="1" thickBot="1">
      <c r="C25" s="5" t="s">
        <v>11</v>
      </c>
      <c r="D25" s="5"/>
      <c r="E25" s="5"/>
      <c r="F25" s="5"/>
      <c r="G25" s="5"/>
      <c r="H25" s="5"/>
      <c r="I25" s="1"/>
      <c r="M25" s="87"/>
      <c r="N25" s="84"/>
      <c r="O25" s="91">
        <v>2025</v>
      </c>
      <c r="P25" s="92">
        <f t="shared" si="0"/>
        <v>0</v>
      </c>
      <c r="Q25" s="92" t="e">
        <f>#REF!</f>
        <v>#REF!</v>
      </c>
      <c r="R25" s="92" t="e">
        <f>#REF!</f>
        <v>#REF!</v>
      </c>
      <c r="S25" s="92" t="e">
        <f>#REF!</f>
        <v>#REF!</v>
      </c>
      <c r="T25" s="90" t="e">
        <f t="shared" si="1"/>
        <v>#REF!</v>
      </c>
      <c r="U25" s="87"/>
    </row>
    <row r="26" spans="2:21" ht="20.100000000000001" customHeight="1" outlineLevel="1" thickBot="1">
      <c r="C26" s="5"/>
      <c r="D26" s="5" t="s">
        <v>12</v>
      </c>
      <c r="E26" s="5"/>
      <c r="F26" s="116">
        <f>F63*I93/10000</f>
        <v>15.464520000000002</v>
      </c>
      <c r="G26" s="117"/>
      <c r="H26" s="29" t="s">
        <v>13</v>
      </c>
      <c r="I26" s="1"/>
      <c r="M26" s="87"/>
      <c r="N26" s="84"/>
      <c r="O26" s="91">
        <v>2026</v>
      </c>
      <c r="P26" s="92">
        <f t="shared" si="0"/>
        <v>0</v>
      </c>
      <c r="Q26" s="92" t="e">
        <f>#REF!</f>
        <v>#REF!</v>
      </c>
      <c r="R26" s="92" t="e">
        <f>#REF!</f>
        <v>#REF!</v>
      </c>
      <c r="S26" s="92" t="e">
        <f>#REF!</f>
        <v>#REF!</v>
      </c>
      <c r="T26" s="90" t="e">
        <f t="shared" si="1"/>
        <v>#REF!</v>
      </c>
      <c r="U26" s="87"/>
    </row>
    <row r="27" spans="2:21" ht="15" customHeight="1" outlineLevel="1">
      <c r="C27" s="5"/>
      <c r="D27" s="5"/>
      <c r="E27" s="5" t="s">
        <v>20</v>
      </c>
      <c r="F27" s="30"/>
      <c r="G27" s="30"/>
      <c r="H27" s="5"/>
      <c r="I27" s="1"/>
      <c r="M27" s="87"/>
      <c r="N27" s="84"/>
      <c r="O27" s="91">
        <v>2027</v>
      </c>
      <c r="P27" s="92">
        <f t="shared" si="0"/>
        <v>0</v>
      </c>
      <c r="Q27" s="92" t="e">
        <f>#REF!</f>
        <v>#REF!</v>
      </c>
      <c r="R27" s="92" t="e">
        <f>#REF!</f>
        <v>#REF!</v>
      </c>
      <c r="S27" s="92" t="e">
        <f>#REF!</f>
        <v>#REF!</v>
      </c>
      <c r="T27" s="90" t="e">
        <f t="shared" si="1"/>
        <v>#REF!</v>
      </c>
      <c r="U27" s="87"/>
    </row>
    <row r="28" spans="2:21" ht="15" customHeight="1" outlineLevel="1">
      <c r="C28" s="5"/>
      <c r="D28" s="5"/>
      <c r="E28" s="31"/>
      <c r="F28" s="5" t="s">
        <v>12</v>
      </c>
      <c r="G28" s="32">
        <f>SUM(G51,G53)*I93/10000</f>
        <v>41.238720000000001</v>
      </c>
      <c r="H28" s="29" t="s">
        <v>13</v>
      </c>
      <c r="I28" s="1"/>
      <c r="M28" s="87"/>
      <c r="N28" s="84"/>
      <c r="O28" s="91">
        <v>2028</v>
      </c>
      <c r="P28" s="92">
        <f t="shared" si="0"/>
        <v>0.20898000000000003</v>
      </c>
      <c r="Q28" s="92" t="e">
        <f>#REF!</f>
        <v>#REF!</v>
      </c>
      <c r="R28" s="92" t="e">
        <f>#REF!</f>
        <v>#REF!</v>
      </c>
      <c r="S28" s="92" t="e">
        <f>#REF!</f>
        <v>#REF!</v>
      </c>
      <c r="T28" s="90" t="e">
        <f t="shared" si="1"/>
        <v>#REF!</v>
      </c>
      <c r="U28" s="87"/>
    </row>
    <row r="29" spans="2:21" ht="15" customHeight="1" outlineLevel="1">
      <c r="C29" s="5"/>
      <c r="D29" s="5"/>
      <c r="E29" s="5" t="s">
        <v>21</v>
      </c>
      <c r="F29" s="5"/>
      <c r="G29" s="30"/>
      <c r="H29" s="5"/>
      <c r="I29" s="1"/>
      <c r="M29" s="87"/>
      <c r="N29" s="84"/>
      <c r="O29" s="91">
        <v>2029</v>
      </c>
      <c r="P29" s="92">
        <f t="shared" si="0"/>
        <v>0.62693999999999994</v>
      </c>
      <c r="Q29" s="92" t="e">
        <f>#REF!</f>
        <v>#REF!</v>
      </c>
      <c r="R29" s="92" t="e">
        <f>#REF!</f>
        <v>#REF!</v>
      </c>
      <c r="S29" s="92" t="e">
        <f>#REF!</f>
        <v>#REF!</v>
      </c>
      <c r="T29" s="90" t="e">
        <f t="shared" si="1"/>
        <v>#REF!</v>
      </c>
      <c r="U29" s="87"/>
    </row>
    <row r="30" spans="2:21" ht="15" customHeight="1" outlineLevel="1">
      <c r="C30" s="5"/>
      <c r="D30" s="31"/>
      <c r="E30" s="5"/>
      <c r="F30" s="5" t="s">
        <v>12</v>
      </c>
      <c r="G30" s="32">
        <f>SUM(G59,G61)*I93/10000</f>
        <v>25.7742</v>
      </c>
      <c r="H30" s="29" t="s">
        <v>13</v>
      </c>
      <c r="I30" s="1"/>
      <c r="M30" s="87"/>
      <c r="N30" s="84"/>
      <c r="O30" s="91">
        <v>2030</v>
      </c>
      <c r="P30" s="92">
        <f t="shared" si="0"/>
        <v>1.2538799999999999</v>
      </c>
      <c r="Q30" s="92" t="e">
        <f>#REF!</f>
        <v>#REF!</v>
      </c>
      <c r="R30" s="92" t="e">
        <f>#REF!</f>
        <v>#REF!</v>
      </c>
      <c r="S30" s="92" t="e">
        <f>#REF!</f>
        <v>#REF!</v>
      </c>
      <c r="T30" s="90" t="e">
        <f t="shared" si="1"/>
        <v>#REF!</v>
      </c>
      <c r="U30" s="87"/>
    </row>
    <row r="31" spans="2:21" ht="15" customHeight="1" outlineLevel="1" thickBot="1">
      <c r="C31" s="31"/>
      <c r="D31" s="5"/>
      <c r="E31" s="5"/>
      <c r="F31" s="30"/>
      <c r="G31" s="30"/>
      <c r="H31" s="5"/>
      <c r="I31" s="1"/>
      <c r="M31" s="87"/>
      <c r="N31" s="84"/>
      <c r="O31" s="91">
        <v>2031</v>
      </c>
      <c r="P31" s="92">
        <f t="shared" si="0"/>
        <v>2.0897999999999999</v>
      </c>
      <c r="Q31" s="92" t="e">
        <f>#REF!</f>
        <v>#REF!</v>
      </c>
      <c r="R31" s="92" t="e">
        <f>#REF!</f>
        <v>#REF!</v>
      </c>
      <c r="S31" s="92" t="e">
        <f>#REF!</f>
        <v>#REF!</v>
      </c>
      <c r="T31" s="90" t="e">
        <f t="shared" si="1"/>
        <v>#REF!</v>
      </c>
      <c r="U31" s="87"/>
    </row>
    <row r="32" spans="2:21" ht="15" customHeight="1" outlineLevel="1" thickBot="1">
      <c r="C32" s="33" t="s">
        <v>22</v>
      </c>
      <c r="D32" s="31"/>
      <c r="E32" s="5"/>
      <c r="F32" s="5"/>
      <c r="G32" s="33" t="s">
        <v>23</v>
      </c>
      <c r="H32" s="34">
        <v>2028</v>
      </c>
      <c r="I32" s="4" t="s">
        <v>24</v>
      </c>
      <c r="M32" s="87"/>
      <c r="N32" s="84"/>
      <c r="O32" s="91">
        <v>2032</v>
      </c>
      <c r="P32" s="92">
        <f t="shared" si="0"/>
        <v>3.0929039999999999</v>
      </c>
      <c r="Q32" s="92" t="e">
        <f>#REF!</f>
        <v>#REF!</v>
      </c>
      <c r="R32" s="92" t="e">
        <f>#REF!</f>
        <v>#REF!</v>
      </c>
      <c r="S32" s="92" t="e">
        <f>#REF!</f>
        <v>#REF!</v>
      </c>
      <c r="T32" s="90" t="e">
        <f t="shared" si="1"/>
        <v>#REF!</v>
      </c>
      <c r="U32" s="87"/>
    </row>
    <row r="33" spans="1:21" ht="20.100000000000001" customHeight="1" outlineLevel="1" thickBot="1">
      <c r="C33" s="31"/>
      <c r="D33" s="33" t="s">
        <v>12</v>
      </c>
      <c r="E33" s="5"/>
      <c r="F33" s="116">
        <f>F63*VLOOKUP(H32+3,D77:I93,6,FALSE)/10000</f>
        <v>2.0897999999999999</v>
      </c>
      <c r="G33" s="117"/>
      <c r="H33" s="29" t="s">
        <v>13</v>
      </c>
      <c r="M33" s="87"/>
      <c r="N33" s="84"/>
      <c r="O33" s="91">
        <v>2033</v>
      </c>
      <c r="P33" s="92">
        <f t="shared" si="0"/>
        <v>4.2631920000000001</v>
      </c>
      <c r="Q33" s="92" t="e">
        <f>#REF!</f>
        <v>#REF!</v>
      </c>
      <c r="R33" s="92" t="e">
        <f>#REF!</f>
        <v>#REF!</v>
      </c>
      <c r="S33" s="92" t="e">
        <f>#REF!</f>
        <v>#REF!</v>
      </c>
      <c r="T33" s="90" t="e">
        <f t="shared" si="1"/>
        <v>#REF!</v>
      </c>
      <c r="U33" s="87"/>
    </row>
    <row r="34" spans="1:21" ht="20.100000000000001" customHeight="1" outlineLevel="1">
      <c r="C34" s="31"/>
      <c r="D34" s="33"/>
      <c r="E34" s="5"/>
      <c r="F34" s="35"/>
      <c r="G34" s="35"/>
      <c r="H34" s="5"/>
      <c r="M34" s="87"/>
      <c r="N34" s="84"/>
      <c r="O34" s="91">
        <v>2034</v>
      </c>
      <c r="P34" s="92">
        <f t="shared" si="0"/>
        <v>5.6006640000000001</v>
      </c>
      <c r="Q34" s="92" t="e">
        <f>#REF!</f>
        <v>#REF!</v>
      </c>
      <c r="R34" s="92" t="e">
        <f>#REF!</f>
        <v>#REF!</v>
      </c>
      <c r="S34" s="92" t="e">
        <f>#REF!</f>
        <v>#REF!</v>
      </c>
      <c r="T34" s="90" t="e">
        <f t="shared" si="1"/>
        <v>#REF!</v>
      </c>
      <c r="U34" s="87"/>
    </row>
    <row r="35" spans="1:21" ht="20.100000000000001" customHeight="1" outlineLevel="1" thickBot="1">
      <c r="C35" s="5" t="s">
        <v>25</v>
      </c>
      <c r="D35" s="5"/>
      <c r="E35" s="5"/>
      <c r="F35" s="5"/>
      <c r="G35" s="5"/>
      <c r="H35" s="5"/>
      <c r="M35" s="87"/>
      <c r="N35" s="84"/>
      <c r="O35" s="91">
        <v>2035</v>
      </c>
      <c r="P35" s="92">
        <f t="shared" si="0"/>
        <v>7.1053199999999999</v>
      </c>
      <c r="Q35" s="92" t="e">
        <f>#REF!</f>
        <v>#REF!</v>
      </c>
      <c r="R35" s="92" t="e">
        <f>#REF!</f>
        <v>#REF!</v>
      </c>
      <c r="S35" s="92" t="e">
        <f>#REF!</f>
        <v>#REF!</v>
      </c>
      <c r="T35" s="90" t="e">
        <f t="shared" si="1"/>
        <v>#REF!</v>
      </c>
      <c r="U35" s="87"/>
    </row>
    <row r="36" spans="1:21" ht="20.100000000000001" customHeight="1" outlineLevel="1" thickBot="1">
      <c r="C36" s="5"/>
      <c r="D36" s="5" t="s">
        <v>12</v>
      </c>
      <c r="E36" s="5"/>
      <c r="F36" s="118">
        <v>0</v>
      </c>
      <c r="G36" s="119"/>
      <c r="H36" s="5" t="s">
        <v>13</v>
      </c>
      <c r="M36" s="87"/>
      <c r="N36" s="84"/>
      <c r="O36" s="91">
        <v>2036</v>
      </c>
      <c r="P36" s="92">
        <f t="shared" si="0"/>
        <v>8.7771600000000003</v>
      </c>
      <c r="Q36" s="92" t="e">
        <f>#REF!</f>
        <v>#REF!</v>
      </c>
      <c r="R36" s="92" t="e">
        <f>#REF!</f>
        <v>#REF!</v>
      </c>
      <c r="S36" s="92" t="e">
        <f>#REF!</f>
        <v>#REF!</v>
      </c>
      <c r="T36" s="90" t="e">
        <f t="shared" si="1"/>
        <v>#REF!</v>
      </c>
      <c r="U36" s="87"/>
    </row>
    <row r="37" spans="1:21" ht="9.9499999999999993" customHeight="1" outlineLevel="1" thickBot="1">
      <c r="C37" s="5"/>
      <c r="D37" s="5"/>
      <c r="E37" s="5"/>
      <c r="F37" s="5"/>
      <c r="G37" s="5"/>
      <c r="H37" s="5"/>
      <c r="M37" s="87"/>
      <c r="N37" s="84"/>
      <c r="O37" s="91">
        <v>2037</v>
      </c>
      <c r="P37" s="92">
        <f t="shared" si="0"/>
        <v>10.449</v>
      </c>
      <c r="Q37" s="92" t="e">
        <f>#REF!</f>
        <v>#REF!</v>
      </c>
      <c r="R37" s="92" t="e">
        <f>#REF!</f>
        <v>#REF!</v>
      </c>
      <c r="S37" s="92" t="e">
        <f>#REF!</f>
        <v>#REF!</v>
      </c>
      <c r="T37" s="90" t="e">
        <f t="shared" si="1"/>
        <v>#REF!</v>
      </c>
      <c r="U37" s="87"/>
    </row>
    <row r="38" spans="1:21" ht="52.5" customHeight="1" outlineLevel="1" thickBot="1">
      <c r="C38" s="31"/>
      <c r="D38" s="33" t="s">
        <v>26</v>
      </c>
      <c r="E38" s="5"/>
      <c r="F38" s="127" t="s">
        <v>97</v>
      </c>
      <c r="G38" s="121"/>
      <c r="H38" s="121"/>
      <c r="I38" s="121"/>
      <c r="J38" s="121"/>
      <c r="K38" s="122"/>
      <c r="M38" s="87"/>
      <c r="N38" s="84"/>
      <c r="O38" s="91">
        <v>2038</v>
      </c>
      <c r="P38" s="92">
        <f t="shared" si="0"/>
        <v>12.120839999999999</v>
      </c>
      <c r="Q38" s="92" t="e">
        <f>#REF!</f>
        <v>#REF!</v>
      </c>
      <c r="R38" s="92" t="e">
        <f>#REF!</f>
        <v>#REF!</v>
      </c>
      <c r="S38" s="92" t="e">
        <f>#REF!</f>
        <v>#REF!</v>
      </c>
      <c r="T38" s="90" t="e">
        <f t="shared" si="1"/>
        <v>#REF!</v>
      </c>
      <c r="U38" s="87"/>
    </row>
    <row r="39" spans="1:21" ht="15" customHeight="1" outlineLevel="1">
      <c r="D39" s="23"/>
      <c r="M39" s="87"/>
      <c r="N39" s="84"/>
      <c r="O39" s="91">
        <v>2039</v>
      </c>
      <c r="P39" s="92">
        <f t="shared" si="0"/>
        <v>13.792679999999999</v>
      </c>
      <c r="Q39" s="92" t="e">
        <f>#REF!</f>
        <v>#REF!</v>
      </c>
      <c r="R39" s="92" t="e">
        <f>#REF!</f>
        <v>#REF!</v>
      </c>
      <c r="S39" s="92" t="e">
        <f>#REF!</f>
        <v>#REF!</v>
      </c>
      <c r="T39" s="90" t="e">
        <f t="shared" si="1"/>
        <v>#REF!</v>
      </c>
      <c r="U39" s="87"/>
    </row>
    <row r="40" spans="1:21" ht="20.100000000000001" customHeight="1" outlineLevel="1">
      <c r="B40" s="28" t="s">
        <v>27</v>
      </c>
      <c r="M40" s="87"/>
      <c r="N40" s="84"/>
      <c r="O40" s="91">
        <v>2040</v>
      </c>
      <c r="P40" s="92">
        <f t="shared" si="0"/>
        <v>15.464520000000002</v>
      </c>
      <c r="Q40" s="92" t="e">
        <f>#REF!</f>
        <v>#REF!</v>
      </c>
      <c r="R40" s="92" t="e">
        <f>#REF!</f>
        <v>#REF!</v>
      </c>
      <c r="S40" s="92" t="e">
        <f>#REF!</f>
        <v>#REF!</v>
      </c>
      <c r="T40" s="90" t="e">
        <f t="shared" si="1"/>
        <v>#REF!</v>
      </c>
      <c r="U40" s="87"/>
    </row>
    <row r="41" spans="1:21" ht="30" customHeight="1" outlineLevel="1" thickBot="1">
      <c r="B41" s="28"/>
      <c r="D41" s="123" t="s">
        <v>28</v>
      </c>
      <c r="E41" s="123"/>
      <c r="F41" s="123"/>
      <c r="G41" s="123"/>
      <c r="H41" s="123"/>
      <c r="I41" s="123"/>
      <c r="J41" s="123"/>
      <c r="K41" s="123"/>
      <c r="M41" s="87"/>
      <c r="N41" s="84"/>
      <c r="O41" s="87"/>
      <c r="P41" s="87"/>
      <c r="Q41" s="87"/>
      <c r="R41" s="87"/>
      <c r="S41" s="87"/>
      <c r="T41" s="87"/>
      <c r="U41" s="87"/>
    </row>
    <row r="42" spans="1:21" ht="399.75" customHeight="1" outlineLevel="1" thickBot="1">
      <c r="D42" s="170" t="s">
        <v>140</v>
      </c>
      <c r="E42" s="171"/>
      <c r="F42" s="171"/>
      <c r="G42" s="171"/>
      <c r="H42" s="171"/>
      <c r="I42" s="171"/>
      <c r="J42" s="171"/>
      <c r="K42" s="172"/>
      <c r="M42" s="87"/>
      <c r="N42" s="84"/>
      <c r="O42" s="87"/>
      <c r="P42" s="87"/>
      <c r="Q42" s="87"/>
      <c r="R42" s="87"/>
      <c r="S42" s="87"/>
      <c r="T42" s="87"/>
      <c r="U42" s="87"/>
    </row>
    <row r="43" spans="1:21" s="5" customFormat="1" ht="15" customHeight="1" outlineLevel="1">
      <c r="A43" s="4"/>
      <c r="M43" s="83"/>
      <c r="N43" s="84"/>
      <c r="O43" s="83" t="s">
        <v>29</v>
      </c>
      <c r="P43" s="83"/>
      <c r="Q43" s="83"/>
      <c r="R43" s="83"/>
      <c r="S43" s="83"/>
      <c r="T43" s="83"/>
      <c r="U43" s="83"/>
    </row>
    <row r="44" spans="1:21" s="5" customFormat="1" ht="15" customHeight="1" outlineLevel="1">
      <c r="A44" s="4"/>
      <c r="E44" s="5" t="s">
        <v>29</v>
      </c>
      <c r="F44" s="5" t="s">
        <v>30</v>
      </c>
      <c r="H44" s="36">
        <f>$Q$44</f>
        <v>8.64</v>
      </c>
      <c r="I44" s="5" t="s">
        <v>31</v>
      </c>
      <c r="M44" s="83"/>
      <c r="N44" s="83"/>
      <c r="O44" s="83" t="s">
        <v>30</v>
      </c>
      <c r="P44" s="83"/>
      <c r="Q44" s="94">
        <v>8.64</v>
      </c>
      <c r="R44" s="83" t="s">
        <v>31</v>
      </c>
      <c r="S44" s="83"/>
      <c r="T44" s="83"/>
      <c r="U44" s="83"/>
    </row>
    <row r="45" spans="1:21" s="5" customFormat="1" ht="15" customHeight="1" outlineLevel="1">
      <c r="A45" s="4"/>
      <c r="F45" s="5" t="s">
        <v>32</v>
      </c>
      <c r="H45" s="36">
        <f>$Q$45</f>
        <v>2.58</v>
      </c>
      <c r="I45" s="5" t="s">
        <v>33</v>
      </c>
      <c r="M45" s="83"/>
      <c r="N45" s="83"/>
      <c r="O45" s="83" t="s">
        <v>32</v>
      </c>
      <c r="P45" s="83"/>
      <c r="Q45" s="95">
        <v>2.58</v>
      </c>
      <c r="R45" s="83" t="s">
        <v>33</v>
      </c>
      <c r="S45" s="83"/>
      <c r="T45" s="83"/>
      <c r="U45" s="83"/>
    </row>
    <row r="46" spans="1:21" s="5" customFormat="1" ht="15" customHeight="1" outlineLevel="1">
      <c r="A46" s="4"/>
      <c r="G46" s="19"/>
      <c r="H46" s="19"/>
      <c r="J46" s="19"/>
      <c r="N46" s="9"/>
    </row>
    <row r="47" spans="1:21" s="5" customFormat="1" ht="15" customHeight="1" outlineLevel="1" thickBot="1">
      <c r="D47" s="5" t="s">
        <v>34</v>
      </c>
      <c r="J47" s="19"/>
      <c r="N47" s="9"/>
    </row>
    <row r="48" spans="1:21" s="5" customFormat="1" ht="45" customHeight="1" outlineLevel="1" thickBot="1">
      <c r="E48" s="37" t="s">
        <v>35</v>
      </c>
      <c r="F48" s="127" t="s">
        <v>95</v>
      </c>
      <c r="G48" s="128"/>
      <c r="H48" s="128"/>
      <c r="I48" s="128"/>
      <c r="J48" s="128"/>
      <c r="K48" s="129"/>
      <c r="N48" s="9"/>
    </row>
    <row r="49" spans="4:16" s="5" customFormat="1" ht="15" customHeight="1" outlineLevel="1" thickBot="1">
      <c r="J49" s="19"/>
      <c r="N49" s="9"/>
    </row>
    <row r="50" spans="4:16" s="5" customFormat="1" ht="15" customHeight="1" outlineLevel="1" thickBot="1">
      <c r="D50" s="38"/>
      <c r="E50" s="5" t="s">
        <v>37</v>
      </c>
      <c r="F50" s="79">
        <f>18000/3.6/5</f>
        <v>1000</v>
      </c>
      <c r="G50" s="5" t="s">
        <v>38</v>
      </c>
      <c r="J50" s="19"/>
      <c r="N50" s="9"/>
    </row>
    <row r="51" spans="4:16" s="5" customFormat="1" ht="15" customHeight="1" outlineLevel="1" thickBot="1">
      <c r="D51" s="40"/>
      <c r="F51" s="9"/>
      <c r="G51" s="130">
        <f>+F50*H44*H45/100000</f>
        <v>0.222912</v>
      </c>
      <c r="H51" s="131"/>
      <c r="I51" s="5" t="s">
        <v>39</v>
      </c>
      <c r="J51" s="41" t="s">
        <v>40</v>
      </c>
      <c r="K51" s="38"/>
      <c r="L51" s="38"/>
      <c r="N51" s="9"/>
    </row>
    <row r="52" spans="4:16" s="5" customFormat="1" ht="15" customHeight="1" outlineLevel="1" thickBot="1">
      <c r="D52" s="38"/>
      <c r="E52" s="5" t="s">
        <v>41</v>
      </c>
      <c r="F52" s="79"/>
      <c r="G52" s="5" t="s">
        <v>42</v>
      </c>
      <c r="J52" s="41"/>
      <c r="K52" s="38"/>
      <c r="L52" s="38"/>
      <c r="N52" s="9"/>
    </row>
    <row r="53" spans="4:16" s="5" customFormat="1" ht="15" customHeight="1" outlineLevel="1">
      <c r="D53" s="40"/>
      <c r="G53" s="111">
        <f>+F52*H45/100000</f>
        <v>0</v>
      </c>
      <c r="H53" s="112"/>
      <c r="I53" s="5" t="s">
        <v>39</v>
      </c>
      <c r="J53" s="41" t="s">
        <v>40</v>
      </c>
      <c r="K53" s="38"/>
      <c r="L53" s="38"/>
      <c r="N53" s="9"/>
    </row>
    <row r="54" spans="4:16" s="5" customFormat="1" ht="15" customHeight="1" outlineLevel="1">
      <c r="J54" s="19"/>
      <c r="N54" s="9"/>
    </row>
    <row r="55" spans="4:16" s="5" customFormat="1" ht="15" customHeight="1" outlineLevel="1" thickBot="1">
      <c r="D55" s="5" t="s">
        <v>43</v>
      </c>
      <c r="J55" s="19"/>
      <c r="N55" s="9"/>
    </row>
    <row r="56" spans="4:16" s="5" customFormat="1" ht="45" customHeight="1" outlineLevel="1" thickBot="1">
      <c r="E56" s="37" t="s">
        <v>44</v>
      </c>
      <c r="F56" s="127" t="s">
        <v>96</v>
      </c>
      <c r="G56" s="128"/>
      <c r="H56" s="128"/>
      <c r="I56" s="128"/>
      <c r="J56" s="128"/>
      <c r="K56" s="129"/>
      <c r="N56" s="9"/>
    </row>
    <row r="57" spans="4:16" s="5" customFormat="1" ht="15" customHeight="1" outlineLevel="1" thickBot="1">
      <c r="J57" s="19"/>
      <c r="N57" s="9"/>
    </row>
    <row r="58" spans="4:16" s="5" customFormat="1" ht="15" customHeight="1" outlineLevel="1" thickBot="1">
      <c r="D58" s="38"/>
      <c r="E58" s="5" t="s">
        <v>37</v>
      </c>
      <c r="F58" s="79">
        <f>18000/3.6/8</f>
        <v>625</v>
      </c>
      <c r="G58" s="43" t="s">
        <v>38</v>
      </c>
      <c r="H58" s="43"/>
      <c r="J58" s="19"/>
      <c r="N58" s="9"/>
    </row>
    <row r="59" spans="4:16" s="5" customFormat="1" ht="15" customHeight="1" outlineLevel="1" thickBot="1">
      <c r="D59" s="40"/>
      <c r="F59" s="9"/>
      <c r="G59" s="111">
        <f>+F58*H44*H45/100000</f>
        <v>0.13932</v>
      </c>
      <c r="H59" s="112"/>
      <c r="I59" s="5" t="s">
        <v>39</v>
      </c>
      <c r="J59" s="19" t="s">
        <v>46</v>
      </c>
      <c r="K59" s="40"/>
      <c r="L59" s="40"/>
      <c r="N59" s="9"/>
    </row>
    <row r="60" spans="4:16" s="5" customFormat="1" ht="15" customHeight="1" outlineLevel="1" thickBot="1">
      <c r="D60" s="38"/>
      <c r="E60" s="5" t="s">
        <v>41</v>
      </c>
      <c r="F60" s="80"/>
      <c r="G60" s="5" t="s">
        <v>42</v>
      </c>
      <c r="J60" s="19"/>
      <c r="N60" s="9"/>
    </row>
    <row r="61" spans="4:16" s="5" customFormat="1" ht="15" customHeight="1" outlineLevel="1">
      <c r="D61" s="40"/>
      <c r="G61" s="111">
        <f>+F60*H45/100000</f>
        <v>0</v>
      </c>
      <c r="H61" s="112"/>
      <c r="I61" s="5" t="s">
        <v>39</v>
      </c>
      <c r="J61" s="19" t="s">
        <v>46</v>
      </c>
      <c r="K61" s="40"/>
      <c r="L61" s="40"/>
      <c r="N61" s="9"/>
    </row>
    <row r="62" spans="4:16" s="5" customFormat="1" ht="15" customHeight="1" outlineLevel="1" thickBot="1">
      <c r="J62" s="19"/>
      <c r="N62" s="9"/>
    </row>
    <row r="63" spans="4:16" s="5" customFormat="1" ht="15" customHeight="1" outlineLevel="1" thickBot="1">
      <c r="D63" s="5" t="s">
        <v>47</v>
      </c>
      <c r="E63" s="5" t="s">
        <v>48</v>
      </c>
      <c r="F63" s="188">
        <f>SUM(G51,G53)-SUM(G59,G61)</f>
        <v>8.3592E-2</v>
      </c>
      <c r="G63" s="189"/>
      <c r="H63" s="5" t="s">
        <v>39</v>
      </c>
      <c r="J63" s="19"/>
      <c r="N63" s="9"/>
      <c r="P63" s="45"/>
    </row>
    <row r="64" spans="4:16" ht="6" customHeight="1" outlineLevel="1">
      <c r="F64" s="46"/>
      <c r="G64" s="46"/>
    </row>
    <row r="65" spans="2:11" ht="6" customHeight="1" outlineLevel="1">
      <c r="F65" s="46"/>
      <c r="G65" s="46"/>
    </row>
    <row r="66" spans="2:11" ht="20.100000000000001" customHeight="1" outlineLevel="1">
      <c r="F66" s="46"/>
      <c r="G66" s="46"/>
      <c r="K66" s="7"/>
    </row>
    <row r="67" spans="2:11" ht="20.100000000000001" customHeight="1" outlineLevel="1">
      <c r="B67" s="47" t="s">
        <v>49</v>
      </c>
      <c r="K67" s="7" t="s">
        <v>123</v>
      </c>
    </row>
    <row r="68" spans="2:11" ht="30" customHeight="1" outlineLevel="1" thickBot="1">
      <c r="B68" s="28"/>
      <c r="D68" s="134" t="s">
        <v>28</v>
      </c>
      <c r="E68" s="134"/>
      <c r="F68" s="134"/>
      <c r="G68" s="134"/>
      <c r="H68" s="134"/>
      <c r="I68" s="134"/>
      <c r="J68" s="134"/>
      <c r="K68" s="134"/>
    </row>
    <row r="69" spans="2:11" ht="399.95" customHeight="1" outlineLevel="1" thickBot="1">
      <c r="D69" s="170" t="s">
        <v>141</v>
      </c>
      <c r="E69" s="171"/>
      <c r="F69" s="171"/>
      <c r="G69" s="171"/>
      <c r="H69" s="171"/>
      <c r="I69" s="171"/>
      <c r="J69" s="171"/>
      <c r="K69" s="172"/>
    </row>
    <row r="70" spans="2:11" ht="15" customHeight="1" outlineLevel="1" thickBot="1">
      <c r="D70" s="48"/>
      <c r="E70" s="48"/>
      <c r="F70" s="48"/>
      <c r="G70" s="48"/>
      <c r="H70" s="48"/>
      <c r="I70" s="48"/>
    </row>
    <row r="71" spans="2:11" ht="45" customHeight="1" outlineLevel="1" thickBot="1">
      <c r="D71" s="138" t="s">
        <v>50</v>
      </c>
      <c r="E71" s="139"/>
      <c r="F71" s="140"/>
      <c r="G71" s="141"/>
      <c r="H71" s="141"/>
      <c r="I71" s="141"/>
      <c r="J71" s="141"/>
      <c r="K71" s="142"/>
    </row>
    <row r="72" spans="2:11" ht="15" customHeight="1" outlineLevel="1">
      <c r="D72" s="48"/>
      <c r="E72" s="48"/>
      <c r="F72" s="48"/>
      <c r="G72" s="48"/>
      <c r="H72" s="48"/>
      <c r="I72" s="48"/>
    </row>
    <row r="73" spans="2:11" ht="20.100000000000001" customHeight="1" outlineLevel="1">
      <c r="D73" s="48"/>
      <c r="E73" s="48"/>
      <c r="F73" s="48"/>
      <c r="G73" s="48"/>
      <c r="H73" s="48"/>
      <c r="I73" s="48"/>
      <c r="J73" s="49" t="s">
        <v>52</v>
      </c>
    </row>
    <row r="74" spans="2:11" ht="20.100000000000001" customHeight="1" outlineLevel="1" thickBot="1">
      <c r="D74" s="4" t="s">
        <v>53</v>
      </c>
      <c r="K74" s="50" t="s">
        <v>2</v>
      </c>
    </row>
    <row r="75" spans="2:11" ht="33" customHeight="1" outlineLevel="1" thickBot="1">
      <c r="D75" s="143" t="s">
        <v>54</v>
      </c>
      <c r="E75" s="51" t="s">
        <v>55</v>
      </c>
      <c r="F75" s="145" t="s">
        <v>56</v>
      </c>
      <c r="G75" s="145"/>
      <c r="H75" s="146" t="s">
        <v>57</v>
      </c>
      <c r="I75" s="148" t="s">
        <v>58</v>
      </c>
      <c r="K75" s="150" t="s">
        <v>59</v>
      </c>
    </row>
    <row r="76" spans="2:11" ht="30" customHeight="1" outlineLevel="1">
      <c r="D76" s="144"/>
      <c r="E76" s="52" t="s">
        <v>60</v>
      </c>
      <c r="F76" s="53" t="s">
        <v>61</v>
      </c>
      <c r="G76" s="54" t="s">
        <v>62</v>
      </c>
      <c r="H76" s="147"/>
      <c r="I76" s="149"/>
      <c r="K76" s="151"/>
    </row>
    <row r="77" spans="2:11" ht="15" customHeight="1" outlineLevel="1">
      <c r="D77" s="55">
        <v>2024</v>
      </c>
      <c r="E77" s="56">
        <v>10000000</v>
      </c>
      <c r="F77" s="57"/>
      <c r="G77" s="74">
        <f>IF(E77="","",F77/E77)</f>
        <v>0</v>
      </c>
      <c r="H77" s="59"/>
      <c r="I77" s="60">
        <f>F77-H77</f>
        <v>0</v>
      </c>
      <c r="K77" s="61">
        <f t="shared" ref="K77:K93" si="2">I77*F$63/10000</f>
        <v>0</v>
      </c>
    </row>
    <row r="78" spans="2:11" ht="15" customHeight="1" outlineLevel="1">
      <c r="D78" s="55">
        <v>2025</v>
      </c>
      <c r="E78" s="56">
        <f>E77+1000000</f>
        <v>11000000</v>
      </c>
      <c r="F78" s="57"/>
      <c r="G78" s="74">
        <f t="shared" ref="G78:G93" si="3">IF(E78="","",F78/E78)</f>
        <v>0</v>
      </c>
      <c r="H78" s="59"/>
      <c r="I78" s="60">
        <f>I77+F78-H78</f>
        <v>0</v>
      </c>
      <c r="K78" s="61">
        <f t="shared" si="2"/>
        <v>0</v>
      </c>
    </row>
    <row r="79" spans="2:11" ht="15" customHeight="1" outlineLevel="1">
      <c r="D79" s="55">
        <v>2026</v>
      </c>
      <c r="E79" s="56">
        <f t="shared" ref="E79:E93" si="4">E78+1000000</f>
        <v>12000000</v>
      </c>
      <c r="F79" s="57"/>
      <c r="G79" s="74">
        <f t="shared" si="3"/>
        <v>0</v>
      </c>
      <c r="H79" s="59"/>
      <c r="I79" s="60">
        <f t="shared" ref="I79:I92" si="5">I78+F79-H79</f>
        <v>0</v>
      </c>
      <c r="K79" s="61">
        <f t="shared" si="2"/>
        <v>0</v>
      </c>
    </row>
    <row r="80" spans="2:11" ht="15" customHeight="1" outlineLevel="1">
      <c r="D80" s="55">
        <v>2027</v>
      </c>
      <c r="E80" s="56">
        <f t="shared" si="4"/>
        <v>13000000</v>
      </c>
      <c r="F80" s="57"/>
      <c r="G80" s="74">
        <f t="shared" si="3"/>
        <v>0</v>
      </c>
      <c r="H80" s="59"/>
      <c r="I80" s="60">
        <f t="shared" si="5"/>
        <v>0</v>
      </c>
      <c r="K80" s="61">
        <f t="shared" si="2"/>
        <v>0</v>
      </c>
    </row>
    <row r="81" spans="4:11" ht="15" customHeight="1" outlineLevel="1">
      <c r="D81" s="55">
        <v>2028</v>
      </c>
      <c r="E81" s="56">
        <f t="shared" si="4"/>
        <v>14000000</v>
      </c>
      <c r="F81" s="57">
        <v>25000</v>
      </c>
      <c r="G81" s="74">
        <f t="shared" si="3"/>
        <v>1.7857142857142857E-3</v>
      </c>
      <c r="H81" s="59"/>
      <c r="I81" s="60">
        <f t="shared" si="5"/>
        <v>25000</v>
      </c>
      <c r="K81" s="61">
        <f t="shared" si="2"/>
        <v>0.20898000000000003</v>
      </c>
    </row>
    <row r="82" spans="4:11" ht="15" customHeight="1" outlineLevel="1">
      <c r="D82" s="55">
        <v>2029</v>
      </c>
      <c r="E82" s="56">
        <f t="shared" si="4"/>
        <v>15000000</v>
      </c>
      <c r="F82" s="57">
        <f>F81+25000</f>
        <v>50000</v>
      </c>
      <c r="G82" s="74">
        <f t="shared" si="3"/>
        <v>3.3333333333333335E-3</v>
      </c>
      <c r="H82" s="59"/>
      <c r="I82" s="60">
        <f t="shared" si="5"/>
        <v>75000</v>
      </c>
      <c r="K82" s="61">
        <f t="shared" si="2"/>
        <v>0.62693999999999994</v>
      </c>
    </row>
    <row r="83" spans="4:11" ht="15" customHeight="1" outlineLevel="1">
      <c r="D83" s="55">
        <v>2030</v>
      </c>
      <c r="E83" s="56">
        <f t="shared" si="4"/>
        <v>16000000</v>
      </c>
      <c r="F83" s="57">
        <f t="shared" ref="F83:F84" si="6">F82+25000</f>
        <v>75000</v>
      </c>
      <c r="G83" s="74">
        <f t="shared" si="3"/>
        <v>4.6874999999999998E-3</v>
      </c>
      <c r="H83" s="59"/>
      <c r="I83" s="60">
        <f t="shared" si="5"/>
        <v>150000</v>
      </c>
      <c r="K83" s="61">
        <f t="shared" si="2"/>
        <v>1.2538799999999999</v>
      </c>
    </row>
    <row r="84" spans="4:11" ht="15" customHeight="1" outlineLevel="1">
      <c r="D84" s="55">
        <v>2031</v>
      </c>
      <c r="E84" s="56">
        <f t="shared" si="4"/>
        <v>17000000</v>
      </c>
      <c r="F84" s="57">
        <f t="shared" si="6"/>
        <v>100000</v>
      </c>
      <c r="G84" s="74">
        <f t="shared" si="3"/>
        <v>5.8823529411764705E-3</v>
      </c>
      <c r="H84" s="59"/>
      <c r="I84" s="60">
        <f t="shared" si="5"/>
        <v>250000</v>
      </c>
      <c r="K84" s="61">
        <f t="shared" si="2"/>
        <v>2.0897999999999999</v>
      </c>
    </row>
    <row r="85" spans="4:11" ht="15" customHeight="1" outlineLevel="1">
      <c r="D85" s="55">
        <v>2032</v>
      </c>
      <c r="E85" s="56">
        <f t="shared" si="4"/>
        <v>18000000</v>
      </c>
      <c r="F85" s="57">
        <f>F84+20000</f>
        <v>120000</v>
      </c>
      <c r="G85" s="74">
        <f t="shared" si="3"/>
        <v>6.6666666666666671E-3</v>
      </c>
      <c r="H85" s="59"/>
      <c r="I85" s="60">
        <f t="shared" si="5"/>
        <v>370000</v>
      </c>
      <c r="K85" s="61">
        <f t="shared" si="2"/>
        <v>3.0929039999999999</v>
      </c>
    </row>
    <row r="86" spans="4:11" ht="15" customHeight="1" outlineLevel="1">
      <c r="D86" s="55">
        <v>2033</v>
      </c>
      <c r="E86" s="56">
        <f t="shared" si="4"/>
        <v>19000000</v>
      </c>
      <c r="F86" s="57">
        <f t="shared" ref="F86:F89" si="7">F85+20000</f>
        <v>140000</v>
      </c>
      <c r="G86" s="74">
        <f t="shared" si="3"/>
        <v>7.3684210526315788E-3</v>
      </c>
      <c r="H86" s="59"/>
      <c r="I86" s="60">
        <f t="shared" si="5"/>
        <v>510000</v>
      </c>
      <c r="K86" s="61">
        <f t="shared" si="2"/>
        <v>4.2631920000000001</v>
      </c>
    </row>
    <row r="87" spans="4:11" ht="15" customHeight="1" outlineLevel="1">
      <c r="D87" s="55">
        <v>2034</v>
      </c>
      <c r="E87" s="56">
        <f t="shared" si="4"/>
        <v>20000000</v>
      </c>
      <c r="F87" s="57">
        <f t="shared" si="7"/>
        <v>160000</v>
      </c>
      <c r="G87" s="74">
        <f t="shared" si="3"/>
        <v>8.0000000000000002E-3</v>
      </c>
      <c r="H87" s="59"/>
      <c r="I87" s="60">
        <f t="shared" si="5"/>
        <v>670000</v>
      </c>
      <c r="K87" s="61">
        <f t="shared" si="2"/>
        <v>5.6006640000000001</v>
      </c>
    </row>
    <row r="88" spans="4:11" ht="15" customHeight="1" outlineLevel="1">
      <c r="D88" s="55">
        <v>2035</v>
      </c>
      <c r="E88" s="56">
        <f t="shared" si="4"/>
        <v>21000000</v>
      </c>
      <c r="F88" s="57">
        <f t="shared" si="7"/>
        <v>180000</v>
      </c>
      <c r="G88" s="74">
        <f t="shared" si="3"/>
        <v>8.5714285714285719E-3</v>
      </c>
      <c r="H88" s="59"/>
      <c r="I88" s="60">
        <f t="shared" si="5"/>
        <v>850000</v>
      </c>
      <c r="K88" s="61">
        <f t="shared" si="2"/>
        <v>7.1053199999999999</v>
      </c>
    </row>
    <row r="89" spans="4:11" ht="15" customHeight="1" outlineLevel="1">
      <c r="D89" s="55">
        <v>2036</v>
      </c>
      <c r="E89" s="56">
        <f t="shared" si="4"/>
        <v>22000000</v>
      </c>
      <c r="F89" s="57">
        <f t="shared" si="7"/>
        <v>200000</v>
      </c>
      <c r="G89" s="74">
        <f t="shared" si="3"/>
        <v>9.0909090909090905E-3</v>
      </c>
      <c r="H89" s="59"/>
      <c r="I89" s="60">
        <f t="shared" si="5"/>
        <v>1050000</v>
      </c>
      <c r="K89" s="61">
        <f t="shared" si="2"/>
        <v>8.7771600000000003</v>
      </c>
    </row>
    <row r="90" spans="4:11" ht="15" customHeight="1" outlineLevel="1">
      <c r="D90" s="55">
        <v>2037</v>
      </c>
      <c r="E90" s="56">
        <f t="shared" si="4"/>
        <v>23000000</v>
      </c>
      <c r="F90" s="57">
        <f>F89</f>
        <v>200000</v>
      </c>
      <c r="G90" s="74">
        <f t="shared" si="3"/>
        <v>8.6956521739130436E-3</v>
      </c>
      <c r="H90" s="59"/>
      <c r="I90" s="60">
        <f t="shared" si="5"/>
        <v>1250000</v>
      </c>
      <c r="K90" s="61">
        <f t="shared" si="2"/>
        <v>10.449</v>
      </c>
    </row>
    <row r="91" spans="4:11" ht="15" customHeight="1" outlineLevel="1">
      <c r="D91" s="55">
        <v>2038</v>
      </c>
      <c r="E91" s="56">
        <f t="shared" si="4"/>
        <v>24000000</v>
      </c>
      <c r="F91" s="57">
        <f t="shared" ref="F91:F93" si="8">F90</f>
        <v>200000</v>
      </c>
      <c r="G91" s="74">
        <f t="shared" si="3"/>
        <v>8.3333333333333332E-3</v>
      </c>
      <c r="H91" s="59"/>
      <c r="I91" s="60">
        <f t="shared" si="5"/>
        <v>1450000</v>
      </c>
      <c r="K91" s="61">
        <f t="shared" si="2"/>
        <v>12.120839999999999</v>
      </c>
    </row>
    <row r="92" spans="4:11" ht="15" customHeight="1" outlineLevel="1">
      <c r="D92" s="55">
        <v>2039</v>
      </c>
      <c r="E92" s="56">
        <f t="shared" si="4"/>
        <v>25000000</v>
      </c>
      <c r="F92" s="57">
        <f t="shared" si="8"/>
        <v>200000</v>
      </c>
      <c r="G92" s="74">
        <f t="shared" si="3"/>
        <v>8.0000000000000002E-3</v>
      </c>
      <c r="H92" s="59"/>
      <c r="I92" s="60">
        <f t="shared" si="5"/>
        <v>1650000</v>
      </c>
      <c r="K92" s="61">
        <f t="shared" si="2"/>
        <v>13.792679999999999</v>
      </c>
    </row>
    <row r="93" spans="4:11" ht="15" customHeight="1" outlineLevel="1" thickBot="1">
      <c r="D93" s="55">
        <v>2040</v>
      </c>
      <c r="E93" s="62">
        <f t="shared" si="4"/>
        <v>26000000</v>
      </c>
      <c r="F93" s="63">
        <f t="shared" si="8"/>
        <v>200000</v>
      </c>
      <c r="G93" s="75">
        <f t="shared" si="3"/>
        <v>7.6923076923076927E-3</v>
      </c>
      <c r="H93" s="65"/>
      <c r="I93" s="66">
        <f>I92+F93-H93</f>
        <v>1850000</v>
      </c>
      <c r="K93" s="67">
        <f t="shared" si="2"/>
        <v>15.464520000000002</v>
      </c>
    </row>
    <row r="94" spans="4:11" ht="15" customHeight="1" outlineLevel="1">
      <c r="D94" s="68"/>
      <c r="E94" s="69"/>
      <c r="F94" s="70"/>
      <c r="G94" s="69"/>
      <c r="H94" s="69"/>
      <c r="I94" s="71" t="s">
        <v>63</v>
      </c>
      <c r="K94" s="72" t="s">
        <v>64</v>
      </c>
    </row>
    <row r="95" spans="4:11" ht="15" customHeight="1"/>
    <row r="96" spans="4:11" s="5" customFormat="1" ht="6" customHeight="1" outlineLevel="1"/>
    <row r="97" s="4" customFormat="1" ht="20.100000000000001" customHeight="1" outlineLevel="1"/>
    <row r="98" s="4" customFormat="1" ht="20.100000000000001" customHeight="1" outlineLevel="1"/>
    <row r="99" s="4" customFormat="1" ht="15" customHeight="1" outlineLevel="1"/>
    <row r="100" s="4" customFormat="1" ht="15" customHeight="1" outlineLevel="1"/>
    <row r="101" s="4" customFormat="1" ht="15" customHeight="1" outlineLevel="1"/>
    <row r="102" s="4" customFormat="1" ht="20.100000000000001" customHeight="1" outlineLevel="1"/>
    <row r="103" s="4" customFormat="1" ht="15" customHeight="1" outlineLevel="1"/>
    <row r="104" s="4" customFormat="1" ht="15" customHeight="1" outlineLevel="1"/>
    <row r="105" s="4" customFormat="1" ht="15" customHeight="1" outlineLevel="1"/>
    <row r="106" s="4" customFormat="1" ht="15" customHeight="1" outlineLevel="1"/>
    <row r="107" s="4" customFormat="1" ht="15" customHeight="1" outlineLevel="1"/>
    <row r="108" s="4" customFormat="1" ht="15" customHeight="1" outlineLevel="1"/>
    <row r="109" s="4" customFormat="1" ht="20.100000000000001" customHeight="1" outlineLevel="1"/>
    <row r="110" s="4" customFormat="1" ht="20.100000000000001" customHeight="1" outlineLevel="1"/>
    <row r="111" s="4" customFormat="1" ht="20.100000000000001" customHeight="1" outlineLevel="1"/>
    <row r="112" s="4" customFormat="1" ht="20.100000000000001" customHeight="1" outlineLevel="1"/>
    <row r="113" s="4" customFormat="1" ht="9.9499999999999993" customHeight="1" outlineLevel="1"/>
    <row r="114" s="4" customFormat="1" ht="52.5" customHeight="1" outlineLevel="1"/>
    <row r="115" s="4" customFormat="1" ht="15" customHeight="1" outlineLevel="1"/>
    <row r="116" s="4" customFormat="1" ht="20.100000000000001" customHeight="1" outlineLevel="1"/>
    <row r="117" s="4" customFormat="1" ht="30" customHeight="1" outlineLevel="1"/>
    <row r="118" s="4" customFormat="1" ht="399.95" customHeight="1" outlineLevel="1"/>
    <row r="119" s="5" customFormat="1" ht="15" customHeight="1" outlineLevel="1"/>
    <row r="120" s="5" customFormat="1" ht="15" customHeight="1" outlineLevel="1"/>
    <row r="121" s="5" customFormat="1" ht="15" customHeight="1" outlineLevel="1"/>
    <row r="122" s="5" customFormat="1" ht="15" customHeight="1" outlineLevel="1"/>
    <row r="123" s="5" customFormat="1" ht="15" customHeight="1" outlineLevel="1"/>
    <row r="124" s="5" customFormat="1" ht="45" customHeight="1" outlineLevel="1"/>
    <row r="125" s="5" customFormat="1" ht="15" customHeight="1" outlineLevel="1"/>
    <row r="126" s="5" customFormat="1" ht="15" customHeight="1" outlineLevel="1"/>
    <row r="127" s="5" customFormat="1" ht="15" customHeight="1" outlineLevel="1"/>
    <row r="128" s="5" customFormat="1" ht="15" customHeight="1" outlineLevel="1"/>
    <row r="129" s="5" customFormat="1" ht="15" customHeight="1" outlineLevel="1"/>
    <row r="130" s="5" customFormat="1" ht="15" customHeight="1" outlineLevel="1"/>
    <row r="131" s="5" customFormat="1" ht="15" customHeight="1" outlineLevel="1"/>
    <row r="132" s="5" customFormat="1" ht="45" customHeight="1" outlineLevel="1"/>
    <row r="133" s="5" customFormat="1" ht="15" customHeight="1" outlineLevel="1"/>
    <row r="134" s="5" customFormat="1" ht="15" customHeight="1" outlineLevel="1"/>
    <row r="135" s="5" customFormat="1" ht="15" customHeight="1" outlineLevel="1"/>
    <row r="136" s="5" customFormat="1" ht="15" customHeight="1" outlineLevel="1"/>
    <row r="137" s="5" customFormat="1" ht="15" customHeight="1" outlineLevel="1"/>
    <row r="138" s="5" customFormat="1" ht="15" customHeight="1" outlineLevel="1"/>
    <row r="139" s="5" customFormat="1" ht="15" customHeight="1" outlineLevel="1"/>
    <row r="140" s="4" customFormat="1" ht="6" customHeight="1" outlineLevel="1"/>
    <row r="141" s="4" customFormat="1" ht="6" customHeight="1" outlineLevel="1"/>
    <row r="142" s="4" customFormat="1" ht="20.100000000000001" customHeight="1" outlineLevel="1"/>
    <row r="143" s="4" customFormat="1" ht="20.100000000000001" customHeight="1" outlineLevel="1"/>
    <row r="144" s="4" customFormat="1" ht="30" customHeight="1" outlineLevel="1"/>
    <row r="145" s="4" customFormat="1" ht="399.95" customHeight="1" outlineLevel="1"/>
    <row r="146" s="4" customFormat="1" ht="15" customHeight="1" outlineLevel="1"/>
    <row r="147" s="4" customFormat="1" ht="45" customHeight="1" outlineLevel="1"/>
    <row r="148" s="4" customFormat="1" ht="15" customHeight="1" outlineLevel="1"/>
    <row r="149" s="4" customFormat="1" ht="20.100000000000001" customHeight="1" outlineLevel="1"/>
    <row r="150" s="4" customFormat="1" ht="20.100000000000001" customHeight="1" outlineLevel="1"/>
    <row r="151" s="4" customFormat="1" ht="33" customHeight="1" outlineLevel="1"/>
    <row r="152" s="4" customFormat="1" ht="30" customHeight="1" outlineLevel="1"/>
    <row r="153" s="4" customFormat="1" ht="15" customHeight="1" outlineLevel="1"/>
    <row r="154" s="4" customFormat="1" ht="15" customHeight="1" outlineLevel="1"/>
    <row r="155" s="4" customFormat="1" ht="15" customHeight="1" outlineLevel="1"/>
    <row r="156" s="4" customFormat="1" ht="15" customHeight="1" outlineLevel="1"/>
    <row r="157" s="4" customFormat="1" ht="15" customHeight="1" outlineLevel="1"/>
    <row r="158" s="4" customFormat="1" ht="15" customHeight="1" outlineLevel="1"/>
    <row r="159" s="4" customFormat="1" ht="15" customHeight="1" outlineLevel="1"/>
    <row r="160" s="4" customFormat="1" ht="15" customHeight="1" outlineLevel="1"/>
    <row r="161" spans="10:14" ht="15" customHeight="1" outlineLevel="1">
      <c r="J161" s="4"/>
      <c r="N161" s="4"/>
    </row>
    <row r="162" spans="10:14" ht="15" customHeight="1" outlineLevel="1">
      <c r="J162" s="4"/>
      <c r="N162" s="4"/>
    </row>
    <row r="163" spans="10:14" ht="15" customHeight="1" outlineLevel="1">
      <c r="J163" s="4"/>
      <c r="N163" s="4"/>
    </row>
    <row r="164" spans="10:14" ht="15" customHeight="1" outlineLevel="1">
      <c r="J164" s="4"/>
      <c r="N164" s="4"/>
    </row>
    <row r="165" spans="10:14" ht="15" customHeight="1" outlineLevel="1">
      <c r="J165" s="4"/>
      <c r="N165" s="4"/>
    </row>
    <row r="166" spans="10:14" ht="15" customHeight="1" outlineLevel="1">
      <c r="J166" s="4"/>
      <c r="N166" s="4"/>
    </row>
    <row r="167" spans="10:14" ht="15" customHeight="1" outlineLevel="1">
      <c r="J167" s="4"/>
      <c r="N167" s="4"/>
    </row>
    <row r="168" spans="10:14" ht="15" customHeight="1" outlineLevel="1">
      <c r="J168" s="4"/>
      <c r="N168" s="4"/>
    </row>
    <row r="169" spans="10:14" ht="15" customHeight="1" outlineLevel="1">
      <c r="J169" s="4"/>
      <c r="N169" s="4"/>
    </row>
    <row r="170" spans="10:14" ht="15" customHeight="1" outlineLevel="1">
      <c r="J170" s="4"/>
      <c r="N170" s="4"/>
    </row>
    <row r="171" spans="10:14" ht="15" customHeight="1"/>
    <row r="172" spans="10:14" s="5" customFormat="1" ht="6" customHeight="1" outlineLevel="1"/>
    <row r="173" spans="10:14" ht="20.100000000000001" customHeight="1" outlineLevel="1">
      <c r="J173" s="4"/>
      <c r="N173" s="4"/>
    </row>
    <row r="174" spans="10:14" ht="20.100000000000001" customHeight="1" outlineLevel="1">
      <c r="J174" s="4"/>
      <c r="N174" s="4"/>
    </row>
    <row r="175" spans="10:14" ht="15" customHeight="1" outlineLevel="1">
      <c r="J175" s="4"/>
      <c r="N175" s="4"/>
    </row>
    <row r="176" spans="10:14" ht="15" customHeight="1" outlineLevel="1">
      <c r="J176" s="4"/>
      <c r="N176" s="4"/>
    </row>
    <row r="177" s="4" customFormat="1" ht="15" customHeight="1" outlineLevel="1"/>
    <row r="178" s="4" customFormat="1" ht="20.100000000000001" customHeight="1" outlineLevel="1"/>
    <row r="179" s="4" customFormat="1" ht="15" customHeight="1" outlineLevel="1"/>
    <row r="180" s="4" customFormat="1" ht="15" customHeight="1" outlineLevel="1"/>
    <row r="181" s="4" customFormat="1" ht="15" customHeight="1" outlineLevel="1"/>
    <row r="182" s="4" customFormat="1" ht="15" customHeight="1" outlineLevel="1"/>
    <row r="183" s="4" customFormat="1" ht="15" customHeight="1" outlineLevel="1"/>
    <row r="184" s="4" customFormat="1" ht="15" customHeight="1" outlineLevel="1"/>
    <row r="185" s="4" customFormat="1" ht="20.100000000000001" customHeight="1" outlineLevel="1"/>
    <row r="186" s="4" customFormat="1" ht="12.75" customHeight="1" outlineLevel="1"/>
    <row r="187" s="4" customFormat="1" ht="20.100000000000001" customHeight="1" outlineLevel="1"/>
    <row r="188" s="4" customFormat="1" ht="20.100000000000001" customHeight="1" outlineLevel="1"/>
    <row r="189" s="4" customFormat="1" ht="9.9499999999999993" customHeight="1" outlineLevel="1"/>
    <row r="190" s="4" customFormat="1" ht="52.5" customHeight="1" outlineLevel="1"/>
    <row r="191" s="4" customFormat="1" ht="15" customHeight="1" outlineLevel="1"/>
    <row r="192" s="4" customFormat="1" ht="20.100000000000001" customHeight="1" outlineLevel="1"/>
    <row r="193" s="4" customFormat="1" ht="30" customHeight="1" outlineLevel="1"/>
    <row r="194" s="4" customFormat="1" ht="399.95" customHeight="1" outlineLevel="1"/>
    <row r="195" s="5" customFormat="1" ht="15" customHeight="1" outlineLevel="1"/>
    <row r="196" s="5" customFormat="1" ht="15" customHeight="1" outlineLevel="1"/>
    <row r="197" s="5" customFormat="1" ht="15" customHeight="1" outlineLevel="1"/>
    <row r="198" s="5" customFormat="1" ht="15" customHeight="1" outlineLevel="1"/>
    <row r="199" s="5" customFormat="1" ht="15" customHeight="1" outlineLevel="1"/>
    <row r="200" s="5" customFormat="1" ht="45" customHeight="1" outlineLevel="1"/>
    <row r="201" s="5" customFormat="1" ht="15" customHeight="1" outlineLevel="1"/>
    <row r="202" s="5" customFormat="1" ht="15" customHeight="1" outlineLevel="1"/>
    <row r="203" s="5" customFormat="1" ht="15" customHeight="1" outlineLevel="1"/>
    <row r="204" s="5" customFormat="1" ht="15" customHeight="1" outlineLevel="1"/>
    <row r="205" s="5" customFormat="1" ht="15" customHeight="1" outlineLevel="1"/>
    <row r="206" s="5" customFormat="1" ht="15" customHeight="1" outlineLevel="1"/>
    <row r="207" s="5" customFormat="1" ht="15" customHeight="1" outlineLevel="1"/>
    <row r="208" s="5" customFormat="1" ht="45" customHeight="1" outlineLevel="1"/>
    <row r="209" s="5" customFormat="1" ht="15" customHeight="1" outlineLevel="1"/>
    <row r="210" s="5" customFormat="1" ht="15" customHeight="1" outlineLevel="1"/>
    <row r="211" s="5" customFormat="1" ht="15" customHeight="1" outlineLevel="1"/>
    <row r="212" s="5" customFormat="1" ht="15" customHeight="1" outlineLevel="1"/>
    <row r="213" s="5" customFormat="1" ht="15" customHeight="1" outlineLevel="1"/>
    <row r="214" s="5" customFormat="1" ht="15" customHeight="1" outlineLevel="1"/>
    <row r="215" s="5" customFormat="1" ht="15" customHeight="1" outlineLevel="1"/>
    <row r="216" s="4" customFormat="1" ht="6" customHeight="1" outlineLevel="1"/>
    <row r="217" s="4" customFormat="1" ht="6" customHeight="1" outlineLevel="1"/>
    <row r="218" s="4" customFormat="1" ht="20.100000000000001" customHeight="1" outlineLevel="1"/>
    <row r="219" s="4" customFormat="1" ht="20.100000000000001" customHeight="1" outlineLevel="1"/>
    <row r="220" s="4" customFormat="1" ht="30" customHeight="1" outlineLevel="1"/>
    <row r="221" s="4" customFormat="1" ht="399.95" customHeight="1" outlineLevel="1"/>
    <row r="222" s="4" customFormat="1" ht="15" customHeight="1" outlineLevel="1"/>
    <row r="223" s="4" customFormat="1" ht="45" customHeight="1" outlineLevel="1"/>
    <row r="224" s="4" customFormat="1" ht="15" customHeight="1" outlineLevel="1"/>
    <row r="225" s="4" customFormat="1" ht="20.100000000000001" customHeight="1" outlineLevel="1"/>
    <row r="226" s="4" customFormat="1" ht="20.100000000000001" customHeight="1" outlineLevel="1"/>
    <row r="227" s="4" customFormat="1" ht="33" customHeight="1" outlineLevel="1"/>
    <row r="228" s="4" customFormat="1" ht="30" customHeight="1" outlineLevel="1"/>
    <row r="229" s="4" customFormat="1" ht="15" customHeight="1" outlineLevel="1"/>
    <row r="230" s="4" customFormat="1" ht="15" customHeight="1" outlineLevel="1"/>
    <row r="231" s="4" customFormat="1" ht="15" customHeight="1" outlineLevel="1"/>
    <row r="232" s="4" customFormat="1" ht="15" customHeight="1" outlineLevel="1"/>
    <row r="233" s="4" customFormat="1" ht="15" customHeight="1" outlineLevel="1"/>
    <row r="234" s="4" customFormat="1" ht="15" customHeight="1" outlineLevel="1"/>
    <row r="235" s="4" customFormat="1" ht="15" customHeight="1" outlineLevel="1"/>
    <row r="236" s="4" customFormat="1" ht="15" customHeight="1" outlineLevel="1"/>
    <row r="237" s="4" customFormat="1" ht="15" customHeight="1" outlineLevel="1"/>
    <row r="238" s="4" customFormat="1" ht="15" customHeight="1" outlineLevel="1"/>
    <row r="239" s="4" customFormat="1" ht="15" customHeight="1" outlineLevel="1"/>
    <row r="240" s="4" customFormat="1" ht="15" customHeight="1" outlineLevel="1"/>
    <row r="241" spans="10:14" ht="15" customHeight="1" outlineLevel="1">
      <c r="J241" s="4"/>
      <c r="N241" s="4"/>
    </row>
    <row r="242" spans="10:14" ht="15" customHeight="1" outlineLevel="1">
      <c r="J242" s="4"/>
      <c r="N242" s="4"/>
    </row>
    <row r="243" spans="10:14" ht="15" customHeight="1" outlineLevel="1">
      <c r="J243" s="4"/>
      <c r="N243" s="4"/>
    </row>
    <row r="244" spans="10:14" ht="15" customHeight="1" outlineLevel="1">
      <c r="J244" s="4"/>
      <c r="N244" s="4"/>
    </row>
    <row r="245" spans="10:14" ht="15" customHeight="1" outlineLevel="1">
      <c r="J245" s="4"/>
      <c r="N245" s="4"/>
    </row>
    <row r="246" spans="10:14" ht="15" customHeight="1" outlineLevel="1">
      <c r="J246" s="4"/>
      <c r="N246" s="4"/>
    </row>
    <row r="247" spans="10:14" ht="15" customHeight="1"/>
    <row r="248" spans="10:14" ht="6" customHeight="1" outlineLevel="1">
      <c r="J248" s="4"/>
      <c r="N248" s="4"/>
    </row>
    <row r="249" spans="10:14" ht="20.100000000000001" customHeight="1" outlineLevel="1">
      <c r="J249" s="4"/>
      <c r="N249" s="4"/>
    </row>
    <row r="250" spans="10:14" ht="20.100000000000001" customHeight="1" outlineLevel="1">
      <c r="J250" s="4"/>
      <c r="N250" s="4"/>
    </row>
    <row r="251" spans="10:14" ht="15" customHeight="1" outlineLevel="1">
      <c r="J251" s="4"/>
      <c r="N251" s="4"/>
    </row>
    <row r="252" spans="10:14" ht="15" customHeight="1" outlineLevel="1">
      <c r="J252" s="4"/>
      <c r="N252" s="4"/>
    </row>
    <row r="253" spans="10:14" ht="15" customHeight="1" outlineLevel="1">
      <c r="J253" s="4"/>
      <c r="N253" s="4"/>
    </row>
    <row r="254" spans="10:14" ht="20.100000000000001" customHeight="1" outlineLevel="1">
      <c r="J254" s="4"/>
      <c r="N254" s="4"/>
    </row>
    <row r="255" spans="10:14" ht="15" customHeight="1" outlineLevel="1">
      <c r="J255" s="4"/>
      <c r="N255" s="4"/>
    </row>
    <row r="256" spans="10:14" ht="15" customHeight="1" outlineLevel="1">
      <c r="J256" s="4"/>
      <c r="N256" s="4"/>
    </row>
    <row r="257" s="4" customFormat="1" ht="20.100000000000001" customHeight="1" outlineLevel="1"/>
    <row r="258" s="4" customFormat="1" ht="20.100000000000001" customHeight="1" outlineLevel="1"/>
    <row r="259" s="4" customFormat="1" ht="20.100000000000001" customHeight="1" outlineLevel="1"/>
    <row r="260" s="4" customFormat="1" ht="20.100000000000001" customHeight="1" outlineLevel="1"/>
    <row r="261" s="4" customFormat="1" ht="9.9499999999999993" customHeight="1" outlineLevel="1"/>
    <row r="262" s="4" customFormat="1" ht="52.5" customHeight="1" outlineLevel="1"/>
    <row r="263" s="4" customFormat="1" ht="15" customHeight="1" outlineLevel="1"/>
    <row r="264" s="4" customFormat="1" ht="20.100000000000001" customHeight="1" outlineLevel="1"/>
    <row r="265" s="73" customFormat="1" ht="30" customHeight="1" outlineLevel="1"/>
    <row r="266" s="73" customFormat="1" ht="399.95" customHeight="1" outlineLevel="1"/>
    <row r="267" s="73" customFormat="1" ht="13.5" outlineLevel="1"/>
    <row r="268" s="73" customFormat="1" ht="13.5" outlineLevel="1"/>
    <row r="269" s="73" customFormat="1" ht="13.5" outlineLevel="1"/>
    <row r="270" s="73" customFormat="1" ht="13.5" outlineLevel="1"/>
    <row r="271" s="73" customFormat="1" ht="13.5" outlineLevel="1"/>
    <row r="272" s="73" customFormat="1" ht="90" customHeight="1" outlineLevel="1"/>
    <row r="273" s="73" customFormat="1" ht="13.5" outlineLevel="1"/>
    <row r="274" s="73" customFormat="1" ht="13.5" outlineLevel="1"/>
    <row r="275" s="73" customFormat="1" ht="90" customHeight="1" outlineLevel="1"/>
    <row r="276" s="73" customFormat="1" ht="13.5" outlineLevel="1"/>
    <row r="277" s="73" customFormat="1" ht="13.5" outlineLevel="1"/>
    <row r="278" s="73" customFormat="1" ht="13.5" outlineLevel="1"/>
    <row r="279" s="73" customFormat="1" ht="20.100000000000001" customHeight="1" outlineLevel="1"/>
    <row r="280" s="73" customFormat="1" ht="20.100000000000001" customHeight="1" outlineLevel="1"/>
    <row r="281" s="73" customFormat="1" ht="30" customHeight="1" outlineLevel="1"/>
    <row r="282" s="73" customFormat="1" ht="399.95" customHeight="1" outlineLevel="1"/>
    <row r="283" s="73" customFormat="1" ht="15" customHeight="1" outlineLevel="1"/>
    <row r="284" s="73" customFormat="1" ht="45" customHeight="1" outlineLevel="1"/>
    <row r="285" s="73" customFormat="1" ht="15" customHeight="1" outlineLevel="1"/>
    <row r="286" s="73" customFormat="1" ht="20.100000000000001" customHeight="1" outlineLevel="1"/>
    <row r="287" s="73" customFormat="1" ht="20.100000000000001" customHeight="1" outlineLevel="1"/>
    <row r="288" s="73" customFormat="1" ht="33" customHeight="1" outlineLevel="1"/>
    <row r="289" s="73" customFormat="1" ht="30" customHeight="1" outlineLevel="1"/>
    <row r="290" s="73" customFormat="1" ht="15" customHeight="1" outlineLevel="1"/>
    <row r="291" s="73" customFormat="1" ht="15" customHeight="1" outlineLevel="1"/>
    <row r="292" s="73" customFormat="1" ht="15" customHeight="1" outlineLevel="1"/>
    <row r="293" s="73" customFormat="1" ht="15" customHeight="1" outlineLevel="1"/>
    <row r="294" s="73" customFormat="1" ht="15" customHeight="1" outlineLevel="1"/>
    <row r="295" s="73" customFormat="1" ht="15" customHeight="1" outlineLevel="1"/>
    <row r="296" s="73" customFormat="1" ht="15" customHeight="1" outlineLevel="1"/>
    <row r="297" s="73" customFormat="1" ht="15" customHeight="1" outlineLevel="1"/>
    <row r="298" s="73" customFormat="1" ht="15" customHeight="1" outlineLevel="1"/>
    <row r="299" s="73" customFormat="1" ht="15" customHeight="1" outlineLevel="1"/>
    <row r="300" s="73" customFormat="1" ht="15" customHeight="1" outlineLevel="1"/>
    <row r="301" s="73" customFormat="1" ht="15" customHeight="1" outlineLevel="1"/>
    <row r="302" s="73" customFormat="1" ht="15" customHeight="1" outlineLevel="1"/>
    <row r="303" s="73" customFormat="1" ht="15" customHeight="1" outlineLevel="1"/>
    <row r="304" s="73" customFormat="1" ht="15" customHeight="1" outlineLevel="1"/>
    <row r="305" s="73" customFormat="1" ht="15" customHeight="1" outlineLevel="1"/>
    <row r="306" s="73" customFormat="1" ht="15" customHeight="1" outlineLevel="1"/>
    <row r="307" s="73" customFormat="1" ht="15" customHeight="1" outlineLevel="1"/>
    <row r="308" ht="15" customHeight="1"/>
  </sheetData>
  <mergeCells count="28">
    <mergeCell ref="G61:H61"/>
    <mergeCell ref="F63:G63"/>
    <mergeCell ref="D68:K68"/>
    <mergeCell ref="D69:K69"/>
    <mergeCell ref="D71:E71"/>
    <mergeCell ref="F71:K71"/>
    <mergeCell ref="D75:D76"/>
    <mergeCell ref="F75:G75"/>
    <mergeCell ref="H75:H76"/>
    <mergeCell ref="I75:I76"/>
    <mergeCell ref="K75:K76"/>
    <mergeCell ref="G59:H59"/>
    <mergeCell ref="F23:H23"/>
    <mergeCell ref="F26:G26"/>
    <mergeCell ref="F33:G33"/>
    <mergeCell ref="F36:G36"/>
    <mergeCell ref="F38:K38"/>
    <mergeCell ref="D41:K41"/>
    <mergeCell ref="D42:K42"/>
    <mergeCell ref="F48:K48"/>
    <mergeCell ref="G51:H51"/>
    <mergeCell ref="G53:H53"/>
    <mergeCell ref="F56:K56"/>
    <mergeCell ref="B5:K5"/>
    <mergeCell ref="F11:H11"/>
    <mergeCell ref="F13:H13"/>
    <mergeCell ref="C16:K16"/>
    <mergeCell ref="C17:K18"/>
  </mergeCells>
  <phoneticPr fontId="2"/>
  <dataValidations disablePrompts="1" count="1">
    <dataValidation type="list" allowBlank="1" showInputMessage="1" showErrorMessage="1" sqref="H32" xr:uid="{AA3186B5-5C92-47EF-9837-73F398F7DDD0}">
      <formula1>$D$77:$D$93</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2" manualBreakCount="2">
    <brk id="19" max="16383" man="1"/>
    <brk id="64" max="16383"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383E-0A40-44E6-A7CC-82A911F820E6}">
  <sheetPr>
    <pageSetUpPr fitToPage="1"/>
  </sheetPr>
  <dimension ref="A1:U308"/>
  <sheetViews>
    <sheetView zoomScaleNormal="100" workbookViewId="0"/>
  </sheetViews>
  <sheetFormatPr defaultRowHeight="18.75" outlineLevelRow="1"/>
  <cols>
    <col min="1" max="1" width="1.625" style="4" customWidth="1"/>
    <col min="2" max="3" width="4.25" style="4" customWidth="1"/>
    <col min="4" max="4" width="9" style="4"/>
    <col min="5" max="9" width="17.625" style="4" customWidth="1"/>
    <col min="10" max="10" width="1.625" style="16" customWidth="1"/>
    <col min="11" max="11" width="22.625" style="4" customWidth="1"/>
    <col min="12" max="12" width="1.625" style="4" customWidth="1"/>
    <col min="13" max="13" width="2.625" style="4" customWidth="1"/>
    <col min="14" max="14" width="8.625" style="9" customWidth="1"/>
    <col min="15" max="17" width="8.625" style="4" customWidth="1"/>
    <col min="18" max="25" width="8.125" style="4" customWidth="1"/>
    <col min="26" max="16384" width="9" style="4"/>
  </cols>
  <sheetData>
    <row r="1" spans="2:14" ht="5.25" customHeight="1" thickBot="1">
      <c r="B1" s="1"/>
      <c r="C1" s="1"/>
      <c r="D1" s="1"/>
      <c r="E1" s="1"/>
      <c r="F1" s="1"/>
      <c r="G1" s="1"/>
      <c r="H1" s="1"/>
      <c r="I1" s="1"/>
      <c r="J1" s="2"/>
      <c r="K1" s="1"/>
      <c r="L1" s="1"/>
      <c r="M1" s="1"/>
      <c r="N1" s="3"/>
    </row>
    <row r="2" spans="2:14" ht="15" customHeight="1" thickBot="1">
      <c r="B2" s="1"/>
      <c r="C2" s="1"/>
      <c r="E2" s="5"/>
      <c r="F2" s="3"/>
      <c r="G2" s="6"/>
      <c r="H2" s="1"/>
      <c r="J2" s="7" t="s">
        <v>0</v>
      </c>
      <c r="K2" s="8"/>
      <c r="L2" s="1"/>
      <c r="M2" s="1"/>
      <c r="N2" s="3"/>
    </row>
    <row r="3" spans="2:14" ht="15" customHeight="1">
      <c r="B3" s="1"/>
      <c r="C3" s="1"/>
      <c r="D3" s="9"/>
      <c r="E3" s="5"/>
      <c r="F3" s="6"/>
      <c r="H3" s="1"/>
      <c r="J3" s="2"/>
      <c r="K3" s="7" t="s">
        <v>123</v>
      </c>
      <c r="L3" s="1"/>
      <c r="M3" s="1"/>
      <c r="N3" s="10"/>
    </row>
    <row r="4" spans="2:14" s="5" customFormat="1" ht="15" customHeight="1">
      <c r="B4" s="11" t="s">
        <v>1</v>
      </c>
      <c r="C4" s="6"/>
      <c r="D4" s="6"/>
      <c r="E4" s="10"/>
      <c r="F4" s="6"/>
      <c r="G4" s="6"/>
      <c r="J4" s="12"/>
      <c r="K4" s="6"/>
      <c r="L4" s="6"/>
      <c r="M4" s="13"/>
      <c r="N4" s="3"/>
    </row>
    <row r="5" spans="2:14" ht="20.100000000000001" customHeight="1">
      <c r="B5" s="97" t="s">
        <v>2</v>
      </c>
      <c r="C5" s="97"/>
      <c r="D5" s="97"/>
      <c r="E5" s="97"/>
      <c r="F5" s="97"/>
      <c r="G5" s="97"/>
      <c r="H5" s="97"/>
      <c r="I5" s="97"/>
      <c r="J5" s="97"/>
      <c r="K5" s="97"/>
      <c r="L5" s="1"/>
      <c r="M5" s="14"/>
      <c r="N5" s="3"/>
    </row>
    <row r="6" spans="2:14" ht="20.100000000000001" customHeight="1" thickBot="1">
      <c r="B6" s="15" t="s">
        <v>3</v>
      </c>
      <c r="H6" s="1"/>
      <c r="I6" s="1"/>
    </row>
    <row r="7" spans="2:14" s="5" customFormat="1" ht="15" customHeight="1" thickBot="1">
      <c r="B7" s="17"/>
      <c r="C7" s="5" t="s">
        <v>4</v>
      </c>
      <c r="E7" s="5" t="s">
        <v>5</v>
      </c>
      <c r="G7" s="18" t="s">
        <v>6</v>
      </c>
      <c r="H7" s="6"/>
      <c r="I7" s="6"/>
      <c r="J7" s="19"/>
      <c r="N7" s="9"/>
    </row>
    <row r="8" spans="2:14" s="5" customFormat="1" ht="15" customHeight="1" thickBot="1">
      <c r="B8" s="17"/>
      <c r="E8" s="5" t="s">
        <v>7</v>
      </c>
      <c r="G8" s="18" t="s">
        <v>8</v>
      </c>
      <c r="H8" s="6"/>
      <c r="I8" s="6"/>
      <c r="J8" s="19"/>
      <c r="N8" s="9"/>
    </row>
    <row r="9" spans="2:14" s="5" customFormat="1" ht="15" customHeight="1" thickBot="1">
      <c r="B9" s="17"/>
      <c r="E9" s="5" t="s">
        <v>9</v>
      </c>
      <c r="G9" s="18" t="s">
        <v>10</v>
      </c>
      <c r="H9" s="6"/>
      <c r="I9" s="6"/>
      <c r="J9" s="19"/>
      <c r="N9" s="9"/>
    </row>
    <row r="10" spans="2:14" s="5" customFormat="1" ht="15" customHeight="1" thickBot="1">
      <c r="C10" s="5" t="s">
        <v>11</v>
      </c>
      <c r="J10" s="19"/>
      <c r="N10" s="9"/>
    </row>
    <row r="11" spans="2:14" ht="30" customHeight="1" thickTop="1" thickBot="1">
      <c r="D11" s="5" t="s">
        <v>12</v>
      </c>
      <c r="E11" s="5"/>
      <c r="F11" s="98" t="e">
        <f>F26+#REF!+#REF!+#REF!</f>
        <v>#REF!</v>
      </c>
      <c r="G11" s="99"/>
      <c r="H11" s="100"/>
      <c r="I11" s="4" t="s">
        <v>13</v>
      </c>
    </row>
    <row r="12" spans="2:14" ht="15" customHeight="1" thickTop="1" thickBot="1">
      <c r="C12" s="5" t="s">
        <v>14</v>
      </c>
      <c r="D12" s="5"/>
      <c r="E12" s="5"/>
      <c r="F12" s="5"/>
      <c r="G12" s="5"/>
      <c r="H12" s="5"/>
    </row>
    <row r="13" spans="2:14" ht="20.100000000000001" customHeight="1" thickTop="1" thickBot="1">
      <c r="D13" s="5" t="s">
        <v>12</v>
      </c>
      <c r="E13" s="5"/>
      <c r="F13" s="101" t="e">
        <f>IF(F36+#REF!+#REF!+#REF!=0,"-",F36+#REF!+#REF!+#REF!)</f>
        <v>#REF!</v>
      </c>
      <c r="G13" s="102"/>
      <c r="H13" s="103"/>
      <c r="I13" s="4" t="s">
        <v>13</v>
      </c>
    </row>
    <row r="14" spans="2:14" ht="15" customHeight="1" thickTop="1">
      <c r="C14" s="20"/>
      <c r="D14" s="5"/>
      <c r="E14" s="5"/>
      <c r="F14" s="21" t="e">
        <f>IF(F11&gt;=100,"エラー：過大の可能性がある値が記載されておりますので今一度ご確認ください。","")</f>
        <v>#REF!</v>
      </c>
      <c r="G14" s="22"/>
    </row>
    <row r="15" spans="2:14" ht="399.95" customHeight="1">
      <c r="D15" s="23"/>
    </row>
    <row r="16" spans="2:14" s="5" customFormat="1" ht="15" customHeight="1" thickBot="1">
      <c r="C16" s="104" t="s">
        <v>15</v>
      </c>
      <c r="D16" s="104"/>
      <c r="E16" s="104"/>
      <c r="F16" s="104"/>
      <c r="G16" s="104"/>
      <c r="H16" s="104"/>
      <c r="I16" s="104"/>
      <c r="J16" s="104"/>
      <c r="K16" s="104"/>
      <c r="M16" s="9"/>
      <c r="N16" s="9"/>
    </row>
    <row r="17" spans="2:21" s="5" customFormat="1" ht="150" customHeight="1">
      <c r="C17" s="105" t="s">
        <v>122</v>
      </c>
      <c r="D17" s="106"/>
      <c r="E17" s="106"/>
      <c r="F17" s="106"/>
      <c r="G17" s="106"/>
      <c r="H17" s="106"/>
      <c r="I17" s="106"/>
      <c r="J17" s="106"/>
      <c r="K17" s="107"/>
      <c r="M17" s="93"/>
      <c r="N17" s="93"/>
      <c r="O17" s="93"/>
      <c r="P17" s="93"/>
      <c r="Q17" s="93"/>
      <c r="R17" s="93"/>
      <c r="S17" s="24"/>
    </row>
    <row r="18" spans="2:21" s="5" customFormat="1" ht="150" customHeight="1" thickBot="1">
      <c r="C18" s="108"/>
      <c r="D18" s="109"/>
      <c r="E18" s="109"/>
      <c r="F18" s="109"/>
      <c r="G18" s="109"/>
      <c r="H18" s="109"/>
      <c r="I18" s="109"/>
      <c r="J18" s="109"/>
      <c r="K18" s="110"/>
      <c r="M18" s="93"/>
      <c r="N18" s="93"/>
      <c r="O18" s="93"/>
      <c r="P18" s="93"/>
      <c r="Q18" s="93"/>
      <c r="R18" s="93"/>
    </row>
    <row r="19" spans="2:21" s="5" customFormat="1" ht="6" customHeight="1">
      <c r="D19" s="25"/>
      <c r="J19" s="19"/>
      <c r="M19" s="83"/>
      <c r="N19" s="84"/>
      <c r="O19" s="83"/>
      <c r="P19" s="83"/>
      <c r="Q19" s="83"/>
      <c r="R19" s="83"/>
      <c r="S19" s="83"/>
      <c r="T19" s="83"/>
      <c r="U19" s="83"/>
    </row>
    <row r="20" spans="2:21" s="5" customFormat="1" ht="6" customHeight="1" outlineLevel="1">
      <c r="D20" s="25"/>
      <c r="J20" s="19"/>
      <c r="M20" s="83"/>
      <c r="N20" s="84"/>
      <c r="O20" s="85"/>
      <c r="P20" s="85"/>
      <c r="Q20" s="85"/>
      <c r="R20" s="85"/>
      <c r="S20" s="85"/>
      <c r="T20" s="85"/>
      <c r="U20" s="86"/>
    </row>
    <row r="21" spans="2:21" ht="20.100000000000001" customHeight="1" outlineLevel="1">
      <c r="B21" s="26" t="s">
        <v>16</v>
      </c>
      <c r="C21" s="20"/>
      <c r="D21" s="27"/>
      <c r="K21" s="7"/>
      <c r="M21" s="87"/>
      <c r="N21" s="84" t="s">
        <v>115</v>
      </c>
      <c r="O21" s="85"/>
      <c r="P21" s="85"/>
      <c r="Q21" s="85"/>
      <c r="R21" s="85"/>
      <c r="S21" s="85"/>
      <c r="T21" s="85"/>
      <c r="U21" s="83"/>
    </row>
    <row r="22" spans="2:21" ht="20.100000000000001" customHeight="1" outlineLevel="1" thickBot="1">
      <c r="B22" s="28" t="s">
        <v>17</v>
      </c>
      <c r="H22" s="1"/>
      <c r="K22" s="7" t="s">
        <v>123</v>
      </c>
      <c r="M22" s="87"/>
      <c r="N22" s="84"/>
      <c r="O22" s="84"/>
      <c r="P22" s="87" t="s">
        <v>116</v>
      </c>
      <c r="Q22" s="87" t="s">
        <v>117</v>
      </c>
      <c r="R22" s="87" t="s">
        <v>118</v>
      </c>
      <c r="S22" s="87" t="s">
        <v>119</v>
      </c>
      <c r="T22" s="87"/>
      <c r="U22" s="87"/>
    </row>
    <row r="23" spans="2:21" ht="15" customHeight="1" outlineLevel="1" thickBot="1">
      <c r="B23" s="28"/>
      <c r="C23" s="5" t="s">
        <v>18</v>
      </c>
      <c r="D23" s="5"/>
      <c r="E23" s="5"/>
      <c r="F23" s="113" t="s">
        <v>19</v>
      </c>
      <c r="G23" s="114"/>
      <c r="H23" s="115"/>
      <c r="I23" s="1"/>
      <c r="M23" s="87"/>
      <c r="N23" s="84"/>
      <c r="O23" s="88"/>
      <c r="P23" s="89" t="str">
        <f>IF(F23="","",F23)</f>
        <v>高機能接合剤の開発による電子部品熱処理工程の省エネルギー</v>
      </c>
      <c r="Q23" s="89" t="e">
        <f>IF(#REF!="","",#REF!)</f>
        <v>#REF!</v>
      </c>
      <c r="R23" s="89" t="e">
        <f>IF(#REF!="","",#REF!)</f>
        <v>#REF!</v>
      </c>
      <c r="S23" s="89" t="e">
        <f>IF(#REF!="","",#REF!)</f>
        <v>#REF!</v>
      </c>
      <c r="T23" s="90" t="s">
        <v>120</v>
      </c>
      <c r="U23" s="87"/>
    </row>
    <row r="24" spans="2:21" ht="15" customHeight="1" outlineLevel="1">
      <c r="B24" s="28"/>
      <c r="C24" s="5"/>
      <c r="D24" s="5"/>
      <c r="E24" s="6"/>
      <c r="F24" s="6"/>
      <c r="G24" s="6"/>
      <c r="H24" s="6"/>
      <c r="I24" s="1"/>
      <c r="M24" s="87"/>
      <c r="N24" s="84"/>
      <c r="O24" s="91">
        <v>2024</v>
      </c>
      <c r="P24" s="92">
        <f t="shared" ref="P24:P40" si="0">K77</f>
        <v>0</v>
      </c>
      <c r="Q24" s="92" t="e">
        <f>#REF!</f>
        <v>#REF!</v>
      </c>
      <c r="R24" s="92" t="e">
        <f>#REF!</f>
        <v>#REF!</v>
      </c>
      <c r="S24" s="92" t="e">
        <f>#REF!</f>
        <v>#REF!</v>
      </c>
      <c r="T24" s="92" t="e">
        <f>SUM(P24:S24)</f>
        <v>#REF!</v>
      </c>
      <c r="U24" s="87"/>
    </row>
    <row r="25" spans="2:21" ht="15" customHeight="1" outlineLevel="1" thickBot="1">
      <c r="C25" s="5" t="s">
        <v>11</v>
      </c>
      <c r="D25" s="5"/>
      <c r="E25" s="5"/>
      <c r="F25" s="5"/>
      <c r="G25" s="5"/>
      <c r="H25" s="5"/>
      <c r="I25" s="1"/>
      <c r="M25" s="87"/>
      <c r="N25" s="84"/>
      <c r="O25" s="91">
        <v>2025</v>
      </c>
      <c r="P25" s="92">
        <f t="shared" si="0"/>
        <v>0</v>
      </c>
      <c r="Q25" s="92" t="e">
        <f>#REF!</f>
        <v>#REF!</v>
      </c>
      <c r="R25" s="92" t="e">
        <f>#REF!</f>
        <v>#REF!</v>
      </c>
      <c r="S25" s="92" t="e">
        <f>#REF!</f>
        <v>#REF!</v>
      </c>
      <c r="T25" s="90" t="e">
        <f t="shared" ref="T25:T40" si="1">SUM(P25:S25)</f>
        <v>#REF!</v>
      </c>
      <c r="U25" s="87"/>
    </row>
    <row r="26" spans="2:21" ht="20.100000000000001" customHeight="1" outlineLevel="1" thickBot="1">
      <c r="C26" s="5"/>
      <c r="D26" s="5" t="s">
        <v>12</v>
      </c>
      <c r="E26" s="5"/>
      <c r="F26" s="116">
        <f>F63*I93/10000</f>
        <v>12.326141952000006</v>
      </c>
      <c r="G26" s="117"/>
      <c r="H26" s="29" t="s">
        <v>13</v>
      </c>
      <c r="I26" s="1"/>
      <c r="M26" s="87"/>
      <c r="N26" s="84"/>
      <c r="O26" s="91">
        <v>2026</v>
      </c>
      <c r="P26" s="92">
        <f t="shared" si="0"/>
        <v>0</v>
      </c>
      <c r="Q26" s="92" t="e">
        <f>#REF!</f>
        <v>#REF!</v>
      </c>
      <c r="R26" s="92" t="e">
        <f>#REF!</f>
        <v>#REF!</v>
      </c>
      <c r="S26" s="92" t="e">
        <f>#REF!</f>
        <v>#REF!</v>
      </c>
      <c r="T26" s="90" t="e">
        <f t="shared" si="1"/>
        <v>#REF!</v>
      </c>
      <c r="U26" s="87"/>
    </row>
    <row r="27" spans="2:21" ht="15" customHeight="1" outlineLevel="1">
      <c r="C27" s="5"/>
      <c r="D27" s="5"/>
      <c r="E27" s="5" t="s">
        <v>20</v>
      </c>
      <c r="F27" s="30"/>
      <c r="G27" s="30"/>
      <c r="H27" s="5"/>
      <c r="I27" s="1"/>
      <c r="M27" s="87"/>
      <c r="N27" s="84"/>
      <c r="O27" s="91">
        <v>2027</v>
      </c>
      <c r="P27" s="92">
        <f t="shared" si="0"/>
        <v>0</v>
      </c>
      <c r="Q27" s="92" t="e">
        <f>#REF!</f>
        <v>#REF!</v>
      </c>
      <c r="R27" s="92" t="e">
        <f>#REF!</f>
        <v>#REF!</v>
      </c>
      <c r="S27" s="92" t="e">
        <f>#REF!</f>
        <v>#REF!</v>
      </c>
      <c r="T27" s="90" t="e">
        <f t="shared" si="1"/>
        <v>#REF!</v>
      </c>
      <c r="U27" s="87"/>
    </row>
    <row r="28" spans="2:21" ht="15" customHeight="1" outlineLevel="1">
      <c r="C28" s="5"/>
      <c r="D28" s="5"/>
      <c r="E28" s="31"/>
      <c r="F28" s="5" t="s">
        <v>12</v>
      </c>
      <c r="G28" s="32">
        <f>SUM(G51,G53)*I93/10000</f>
        <v>15.407677440000006</v>
      </c>
      <c r="H28" s="29" t="s">
        <v>13</v>
      </c>
      <c r="I28" s="1"/>
      <c r="M28" s="87"/>
      <c r="N28" s="84"/>
      <c r="O28" s="91">
        <v>2028</v>
      </c>
      <c r="P28" s="92">
        <f t="shared" si="0"/>
        <v>0.15407677440000006</v>
      </c>
      <c r="Q28" s="92" t="e">
        <f>#REF!</f>
        <v>#REF!</v>
      </c>
      <c r="R28" s="92" t="e">
        <f>#REF!</f>
        <v>#REF!</v>
      </c>
      <c r="S28" s="92" t="e">
        <f>#REF!</f>
        <v>#REF!</v>
      </c>
      <c r="T28" s="90" t="e">
        <f t="shared" si="1"/>
        <v>#REF!</v>
      </c>
      <c r="U28" s="87"/>
    </row>
    <row r="29" spans="2:21" ht="15" customHeight="1" outlineLevel="1">
      <c r="C29" s="5"/>
      <c r="D29" s="5"/>
      <c r="E29" s="5" t="s">
        <v>21</v>
      </c>
      <c r="F29" s="5"/>
      <c r="G29" s="30"/>
      <c r="H29" s="5"/>
      <c r="I29" s="1"/>
      <c r="M29" s="87"/>
      <c r="N29" s="84"/>
      <c r="O29" s="91">
        <v>2029</v>
      </c>
      <c r="P29" s="92">
        <f t="shared" si="0"/>
        <v>0.30815354880000012</v>
      </c>
      <c r="Q29" s="92" t="e">
        <f>#REF!</f>
        <v>#REF!</v>
      </c>
      <c r="R29" s="92" t="e">
        <f>#REF!</f>
        <v>#REF!</v>
      </c>
      <c r="S29" s="92" t="e">
        <f>#REF!</f>
        <v>#REF!</v>
      </c>
      <c r="T29" s="90" t="e">
        <f t="shared" si="1"/>
        <v>#REF!</v>
      </c>
      <c r="U29" s="87"/>
    </row>
    <row r="30" spans="2:21" ht="15" customHeight="1" outlineLevel="1">
      <c r="C30" s="5"/>
      <c r="D30" s="31"/>
      <c r="E30" s="5"/>
      <c r="F30" s="5" t="s">
        <v>12</v>
      </c>
      <c r="G30" s="32">
        <f>SUM(G59,G61)*I93/10000</f>
        <v>3.0815354880000001</v>
      </c>
      <c r="H30" s="29" t="s">
        <v>13</v>
      </c>
      <c r="I30" s="1"/>
      <c r="M30" s="87"/>
      <c r="N30" s="84"/>
      <c r="O30" s="91">
        <v>2030</v>
      </c>
      <c r="P30" s="92">
        <f t="shared" si="0"/>
        <v>0.46223032320000018</v>
      </c>
      <c r="Q30" s="92" t="e">
        <f>#REF!</f>
        <v>#REF!</v>
      </c>
      <c r="R30" s="92" t="e">
        <f>#REF!</f>
        <v>#REF!</v>
      </c>
      <c r="S30" s="92" t="e">
        <f>#REF!</f>
        <v>#REF!</v>
      </c>
      <c r="T30" s="90" t="e">
        <f t="shared" si="1"/>
        <v>#REF!</v>
      </c>
      <c r="U30" s="87"/>
    </row>
    <row r="31" spans="2:21" ht="15" customHeight="1" outlineLevel="1" thickBot="1">
      <c r="C31" s="31"/>
      <c r="D31" s="5"/>
      <c r="E31" s="5"/>
      <c r="F31" s="30"/>
      <c r="G31" s="30"/>
      <c r="H31" s="5"/>
      <c r="I31" s="1"/>
      <c r="M31" s="87"/>
      <c r="N31" s="84"/>
      <c r="O31" s="91">
        <v>2031</v>
      </c>
      <c r="P31" s="92">
        <f t="shared" si="0"/>
        <v>0.77038387200000036</v>
      </c>
      <c r="Q31" s="92" t="e">
        <f>#REF!</f>
        <v>#REF!</v>
      </c>
      <c r="R31" s="92" t="e">
        <f>#REF!</f>
        <v>#REF!</v>
      </c>
      <c r="S31" s="92" t="e">
        <f>#REF!</f>
        <v>#REF!</v>
      </c>
      <c r="T31" s="90" t="e">
        <f t="shared" si="1"/>
        <v>#REF!</v>
      </c>
      <c r="U31" s="87"/>
    </row>
    <row r="32" spans="2:21" ht="15" customHeight="1" outlineLevel="1" thickBot="1">
      <c r="C32" s="33" t="s">
        <v>22</v>
      </c>
      <c r="D32" s="31"/>
      <c r="E32" s="5"/>
      <c r="F32" s="5"/>
      <c r="G32" s="33" t="s">
        <v>23</v>
      </c>
      <c r="H32" s="34">
        <v>2028</v>
      </c>
      <c r="I32" s="4" t="s">
        <v>24</v>
      </c>
      <c r="M32" s="87"/>
      <c r="N32" s="84"/>
      <c r="O32" s="91">
        <v>2032</v>
      </c>
      <c r="P32" s="92">
        <f t="shared" si="0"/>
        <v>1.0785374208000005</v>
      </c>
      <c r="Q32" s="92" t="e">
        <f>#REF!</f>
        <v>#REF!</v>
      </c>
      <c r="R32" s="92" t="e">
        <f>#REF!</f>
        <v>#REF!</v>
      </c>
      <c r="S32" s="92" t="e">
        <f>#REF!</f>
        <v>#REF!</v>
      </c>
      <c r="T32" s="90" t="e">
        <f t="shared" si="1"/>
        <v>#REF!</v>
      </c>
      <c r="U32" s="87"/>
    </row>
    <row r="33" spans="1:21" ht="20.100000000000001" customHeight="1" outlineLevel="1" thickBot="1">
      <c r="C33" s="31"/>
      <c r="D33" s="33" t="s">
        <v>12</v>
      </c>
      <c r="E33" s="5"/>
      <c r="F33" s="116">
        <f>F63*VLOOKUP(H32+3,D77:I93,6,FALSE)/10000</f>
        <v>0.77038387200000036</v>
      </c>
      <c r="G33" s="117"/>
      <c r="H33" s="29" t="s">
        <v>13</v>
      </c>
      <c r="M33" s="87"/>
      <c r="N33" s="84"/>
      <c r="O33" s="91">
        <v>2033</v>
      </c>
      <c r="P33" s="92">
        <f t="shared" si="0"/>
        <v>1.5407677440000007</v>
      </c>
      <c r="Q33" s="92" t="e">
        <f>#REF!</f>
        <v>#REF!</v>
      </c>
      <c r="R33" s="92" t="e">
        <f>#REF!</f>
        <v>#REF!</v>
      </c>
      <c r="S33" s="92" t="e">
        <f>#REF!</f>
        <v>#REF!</v>
      </c>
      <c r="T33" s="90" t="e">
        <f t="shared" si="1"/>
        <v>#REF!</v>
      </c>
      <c r="U33" s="87"/>
    </row>
    <row r="34" spans="1:21" ht="20.100000000000001" customHeight="1" outlineLevel="1">
      <c r="C34" s="31"/>
      <c r="D34" s="33"/>
      <c r="E34" s="5"/>
      <c r="F34" s="35"/>
      <c r="G34" s="35"/>
      <c r="H34" s="5"/>
      <c r="M34" s="87"/>
      <c r="N34" s="84"/>
      <c r="O34" s="91">
        <v>2034</v>
      </c>
      <c r="P34" s="92">
        <f t="shared" si="0"/>
        <v>2.157074841600001</v>
      </c>
      <c r="Q34" s="92" t="e">
        <f>#REF!</f>
        <v>#REF!</v>
      </c>
      <c r="R34" s="92" t="e">
        <f>#REF!</f>
        <v>#REF!</v>
      </c>
      <c r="S34" s="92" t="e">
        <f>#REF!</f>
        <v>#REF!</v>
      </c>
      <c r="T34" s="90" t="e">
        <f t="shared" si="1"/>
        <v>#REF!</v>
      </c>
      <c r="U34" s="87"/>
    </row>
    <row r="35" spans="1:21" ht="20.100000000000001" customHeight="1" outlineLevel="1" thickBot="1">
      <c r="C35" s="5" t="s">
        <v>25</v>
      </c>
      <c r="D35" s="5"/>
      <c r="E35" s="5"/>
      <c r="F35" s="5"/>
      <c r="G35" s="5"/>
      <c r="H35" s="5"/>
      <c r="M35" s="87"/>
      <c r="N35" s="84"/>
      <c r="O35" s="91">
        <v>2035</v>
      </c>
      <c r="P35" s="92">
        <f t="shared" si="0"/>
        <v>3.0815354880000014</v>
      </c>
      <c r="Q35" s="92" t="e">
        <f>#REF!</f>
        <v>#REF!</v>
      </c>
      <c r="R35" s="92" t="e">
        <f>#REF!</f>
        <v>#REF!</v>
      </c>
      <c r="S35" s="92" t="e">
        <f>#REF!</f>
        <v>#REF!</v>
      </c>
      <c r="T35" s="90" t="e">
        <f t="shared" si="1"/>
        <v>#REF!</v>
      </c>
      <c r="U35" s="87"/>
    </row>
    <row r="36" spans="1:21" ht="20.100000000000001" customHeight="1" outlineLevel="1" thickBot="1">
      <c r="C36" s="5"/>
      <c r="D36" s="5" t="s">
        <v>12</v>
      </c>
      <c r="E36" s="5"/>
      <c r="F36" s="118">
        <f>308.15*620/10000</f>
        <v>19.1053</v>
      </c>
      <c r="G36" s="119"/>
      <c r="H36" s="5" t="s">
        <v>13</v>
      </c>
      <c r="M36" s="87"/>
      <c r="N36" s="84"/>
      <c r="O36" s="91">
        <v>2036</v>
      </c>
      <c r="P36" s="92">
        <f t="shared" si="0"/>
        <v>4.3141496832000019</v>
      </c>
      <c r="Q36" s="92" t="e">
        <f>#REF!</f>
        <v>#REF!</v>
      </c>
      <c r="R36" s="92" t="e">
        <f>#REF!</f>
        <v>#REF!</v>
      </c>
      <c r="S36" s="92" t="e">
        <f>#REF!</f>
        <v>#REF!</v>
      </c>
      <c r="T36" s="90" t="e">
        <f t="shared" si="1"/>
        <v>#REF!</v>
      </c>
      <c r="U36" s="87"/>
    </row>
    <row r="37" spans="1:21" ht="9.9499999999999993" customHeight="1" outlineLevel="1" thickBot="1">
      <c r="C37" s="5"/>
      <c r="D37" s="5"/>
      <c r="E37" s="5"/>
      <c r="F37" s="5"/>
      <c r="G37" s="5"/>
      <c r="H37" s="5"/>
      <c r="M37" s="87"/>
      <c r="N37" s="84"/>
      <c r="O37" s="91">
        <v>2037</v>
      </c>
      <c r="P37" s="92">
        <f t="shared" si="0"/>
        <v>5.8549174272000029</v>
      </c>
      <c r="Q37" s="92" t="e">
        <f>#REF!</f>
        <v>#REF!</v>
      </c>
      <c r="R37" s="92" t="e">
        <f>#REF!</f>
        <v>#REF!</v>
      </c>
      <c r="S37" s="92" t="e">
        <f>#REF!</f>
        <v>#REF!</v>
      </c>
      <c r="T37" s="90" t="e">
        <f t="shared" si="1"/>
        <v>#REF!</v>
      </c>
      <c r="U37" s="87"/>
    </row>
    <row r="38" spans="1:21" ht="52.5" customHeight="1" outlineLevel="1" thickBot="1">
      <c r="C38" s="31"/>
      <c r="D38" s="33" t="s">
        <v>26</v>
      </c>
      <c r="E38" s="5"/>
      <c r="F38" s="120" t="s">
        <v>66</v>
      </c>
      <c r="G38" s="121"/>
      <c r="H38" s="121"/>
      <c r="I38" s="121"/>
      <c r="J38" s="121"/>
      <c r="K38" s="122"/>
      <c r="M38" s="87"/>
      <c r="N38" s="84"/>
      <c r="O38" s="91">
        <v>2038</v>
      </c>
      <c r="P38" s="92">
        <f t="shared" si="0"/>
        <v>7.7038387200000029</v>
      </c>
      <c r="Q38" s="92" t="e">
        <f>#REF!</f>
        <v>#REF!</v>
      </c>
      <c r="R38" s="92" t="e">
        <f>#REF!</f>
        <v>#REF!</v>
      </c>
      <c r="S38" s="92" t="e">
        <f>#REF!</f>
        <v>#REF!</v>
      </c>
      <c r="T38" s="90" t="e">
        <f t="shared" si="1"/>
        <v>#REF!</v>
      </c>
      <c r="U38" s="87"/>
    </row>
    <row r="39" spans="1:21" ht="15" customHeight="1" outlineLevel="1">
      <c r="D39" s="23"/>
      <c r="M39" s="87"/>
      <c r="N39" s="84"/>
      <c r="O39" s="91">
        <v>2039</v>
      </c>
      <c r="P39" s="92">
        <f t="shared" si="0"/>
        <v>9.8609135616000039</v>
      </c>
      <c r="Q39" s="92" t="e">
        <f>#REF!</f>
        <v>#REF!</v>
      </c>
      <c r="R39" s="92" t="e">
        <f>#REF!</f>
        <v>#REF!</v>
      </c>
      <c r="S39" s="92" t="e">
        <f>#REF!</f>
        <v>#REF!</v>
      </c>
      <c r="T39" s="90" t="e">
        <f t="shared" si="1"/>
        <v>#REF!</v>
      </c>
      <c r="U39" s="87"/>
    </row>
    <row r="40" spans="1:21" ht="20.100000000000001" customHeight="1" outlineLevel="1">
      <c r="B40" s="28" t="s">
        <v>27</v>
      </c>
      <c r="M40" s="87"/>
      <c r="N40" s="84"/>
      <c r="O40" s="91">
        <v>2040</v>
      </c>
      <c r="P40" s="92">
        <f t="shared" si="0"/>
        <v>12.326141952000006</v>
      </c>
      <c r="Q40" s="92" t="e">
        <f>#REF!</f>
        <v>#REF!</v>
      </c>
      <c r="R40" s="92" t="e">
        <f>#REF!</f>
        <v>#REF!</v>
      </c>
      <c r="S40" s="92" t="e">
        <f>#REF!</f>
        <v>#REF!</v>
      </c>
      <c r="T40" s="90" t="e">
        <f t="shared" si="1"/>
        <v>#REF!</v>
      </c>
      <c r="U40" s="87"/>
    </row>
    <row r="41" spans="1:21" ht="30" customHeight="1" outlineLevel="1" thickBot="1">
      <c r="B41" s="28"/>
      <c r="D41" s="123" t="s">
        <v>28</v>
      </c>
      <c r="E41" s="123"/>
      <c r="F41" s="123"/>
      <c r="G41" s="123"/>
      <c r="H41" s="123"/>
      <c r="I41" s="123"/>
      <c r="J41" s="123"/>
      <c r="K41" s="123"/>
      <c r="M41" s="87"/>
      <c r="N41" s="84"/>
      <c r="O41" s="87"/>
      <c r="P41" s="87"/>
      <c r="Q41" s="87"/>
      <c r="R41" s="87"/>
      <c r="S41" s="87"/>
      <c r="T41" s="87"/>
      <c r="U41" s="87"/>
    </row>
    <row r="42" spans="1:21" ht="399.75" customHeight="1" outlineLevel="1" thickBot="1">
      <c r="D42" s="124" t="s">
        <v>82</v>
      </c>
      <c r="E42" s="125"/>
      <c r="F42" s="125"/>
      <c r="G42" s="125"/>
      <c r="H42" s="125"/>
      <c r="I42" s="125"/>
      <c r="J42" s="125"/>
      <c r="K42" s="126"/>
      <c r="M42" s="87"/>
      <c r="N42" s="84"/>
      <c r="O42" s="87"/>
      <c r="P42" s="87"/>
      <c r="Q42" s="87"/>
      <c r="R42" s="87"/>
      <c r="S42" s="87"/>
      <c r="T42" s="87"/>
      <c r="U42" s="87"/>
    </row>
    <row r="43" spans="1:21" s="5" customFormat="1" ht="15" customHeight="1" outlineLevel="1">
      <c r="A43" s="4"/>
      <c r="M43" s="83"/>
      <c r="N43" s="84"/>
      <c r="O43" s="83" t="s">
        <v>29</v>
      </c>
      <c r="P43" s="83"/>
      <c r="Q43" s="83"/>
      <c r="R43" s="83"/>
      <c r="S43" s="83"/>
      <c r="T43" s="83"/>
      <c r="U43" s="83"/>
    </row>
    <row r="44" spans="1:21" s="5" customFormat="1" ht="15" customHeight="1" outlineLevel="1">
      <c r="A44" s="4"/>
      <c r="E44" s="5" t="s">
        <v>29</v>
      </c>
      <c r="F44" s="5" t="s">
        <v>30</v>
      </c>
      <c r="H44" s="36">
        <f>$Q$44</f>
        <v>8.64</v>
      </c>
      <c r="I44" s="5" t="s">
        <v>31</v>
      </c>
      <c r="M44" s="83"/>
      <c r="N44" s="83"/>
      <c r="O44" s="83" t="s">
        <v>30</v>
      </c>
      <c r="P44" s="83"/>
      <c r="Q44" s="94">
        <v>8.64</v>
      </c>
      <c r="R44" s="83" t="s">
        <v>31</v>
      </c>
      <c r="S44" s="83"/>
      <c r="T44" s="83"/>
      <c r="U44" s="83"/>
    </row>
    <row r="45" spans="1:21" s="5" customFormat="1" ht="15" customHeight="1" outlineLevel="1">
      <c r="A45" s="4"/>
      <c r="F45" s="5" t="s">
        <v>32</v>
      </c>
      <c r="H45" s="36">
        <f>$Q$45</f>
        <v>2.58</v>
      </c>
      <c r="I45" s="5" t="s">
        <v>33</v>
      </c>
      <c r="M45" s="83"/>
      <c r="N45" s="83"/>
      <c r="O45" s="83" t="s">
        <v>32</v>
      </c>
      <c r="P45" s="83"/>
      <c r="Q45" s="95">
        <v>2.58</v>
      </c>
      <c r="R45" s="83" t="s">
        <v>33</v>
      </c>
      <c r="S45" s="83"/>
      <c r="T45" s="83"/>
      <c r="U45" s="83"/>
    </row>
    <row r="46" spans="1:21" s="5" customFormat="1" ht="15" customHeight="1" outlineLevel="1">
      <c r="A46" s="4"/>
      <c r="G46" s="19"/>
      <c r="H46" s="19"/>
      <c r="J46" s="19"/>
      <c r="N46" s="9"/>
    </row>
    <row r="47" spans="1:21" s="5" customFormat="1" ht="15" customHeight="1" outlineLevel="1" thickBot="1">
      <c r="D47" s="5" t="s">
        <v>34</v>
      </c>
      <c r="J47" s="19"/>
      <c r="N47" s="9"/>
    </row>
    <row r="48" spans="1:21" s="5" customFormat="1" ht="45" customHeight="1" outlineLevel="1" thickBot="1">
      <c r="E48" s="37" t="s">
        <v>35</v>
      </c>
      <c r="F48" s="127" t="s">
        <v>36</v>
      </c>
      <c r="G48" s="128"/>
      <c r="H48" s="128"/>
      <c r="I48" s="128"/>
      <c r="J48" s="128"/>
      <c r="K48" s="129"/>
      <c r="N48" s="9"/>
    </row>
    <row r="49" spans="4:16" s="5" customFormat="1" ht="15" customHeight="1" outlineLevel="1" thickBot="1">
      <c r="J49" s="19"/>
      <c r="N49" s="9"/>
    </row>
    <row r="50" spans="4:16" s="5" customFormat="1" ht="15" customHeight="1" outlineLevel="1" thickBot="1">
      <c r="D50" s="38"/>
      <c r="E50" s="5" t="s">
        <v>37</v>
      </c>
      <c r="F50" s="39">
        <f>200*8640</f>
        <v>1728000</v>
      </c>
      <c r="G50" s="5" t="s">
        <v>38</v>
      </c>
      <c r="J50" s="19"/>
      <c r="N50" s="9"/>
    </row>
    <row r="51" spans="4:16" s="5" customFormat="1" ht="15" customHeight="1" outlineLevel="1" thickBot="1">
      <c r="D51" s="40"/>
      <c r="F51" s="9"/>
      <c r="G51" s="130">
        <f>+F50*H44*H45/100000</f>
        <v>385.19193600000011</v>
      </c>
      <c r="H51" s="131"/>
      <c r="I51" s="5" t="s">
        <v>39</v>
      </c>
      <c r="J51" s="41" t="s">
        <v>40</v>
      </c>
      <c r="K51" s="38"/>
      <c r="L51" s="38"/>
      <c r="N51" s="9"/>
    </row>
    <row r="52" spans="4:16" s="5" customFormat="1" ht="15" customHeight="1" outlineLevel="1" thickBot="1">
      <c r="D52" s="38"/>
      <c r="E52" s="5" t="s">
        <v>41</v>
      </c>
      <c r="F52" s="42"/>
      <c r="G52" s="5" t="s">
        <v>42</v>
      </c>
      <c r="J52" s="41"/>
      <c r="K52" s="38"/>
      <c r="L52" s="38"/>
      <c r="N52" s="9"/>
    </row>
    <row r="53" spans="4:16" s="5" customFormat="1" ht="15" customHeight="1" outlineLevel="1">
      <c r="D53" s="40"/>
      <c r="G53" s="111">
        <f>+F52*H45/100000</f>
        <v>0</v>
      </c>
      <c r="H53" s="112"/>
      <c r="I53" s="5" t="s">
        <v>39</v>
      </c>
      <c r="J53" s="41" t="s">
        <v>40</v>
      </c>
      <c r="K53" s="38"/>
      <c r="L53" s="38"/>
      <c r="N53" s="9"/>
    </row>
    <row r="54" spans="4:16" s="5" customFormat="1" ht="15" customHeight="1" outlineLevel="1">
      <c r="J54" s="19"/>
      <c r="N54" s="9"/>
    </row>
    <row r="55" spans="4:16" s="5" customFormat="1" ht="15" customHeight="1" outlineLevel="1" thickBot="1">
      <c r="D55" s="5" t="s">
        <v>43</v>
      </c>
      <c r="J55" s="19"/>
      <c r="N55" s="9"/>
    </row>
    <row r="56" spans="4:16" s="5" customFormat="1" ht="45" customHeight="1" outlineLevel="1" thickBot="1">
      <c r="E56" s="37" t="s">
        <v>44</v>
      </c>
      <c r="F56" s="127" t="s">
        <v>45</v>
      </c>
      <c r="G56" s="128"/>
      <c r="H56" s="128"/>
      <c r="I56" s="128"/>
      <c r="J56" s="128"/>
      <c r="K56" s="129"/>
      <c r="N56" s="9"/>
    </row>
    <row r="57" spans="4:16" s="5" customFormat="1" ht="15" customHeight="1" outlineLevel="1" thickBot="1">
      <c r="J57" s="19"/>
      <c r="N57" s="9"/>
    </row>
    <row r="58" spans="4:16" s="5" customFormat="1" ht="15" customHeight="1" outlineLevel="1" thickBot="1">
      <c r="D58" s="38"/>
      <c r="E58" s="5" t="s">
        <v>37</v>
      </c>
      <c r="F58" s="39">
        <f>40*8640</f>
        <v>345600</v>
      </c>
      <c r="G58" s="43" t="s">
        <v>38</v>
      </c>
      <c r="H58" s="43"/>
      <c r="J58" s="19"/>
      <c r="N58" s="9"/>
    </row>
    <row r="59" spans="4:16" s="5" customFormat="1" ht="15" customHeight="1" outlineLevel="1" thickBot="1">
      <c r="D59" s="40"/>
      <c r="F59" s="9"/>
      <c r="G59" s="111">
        <f>+F58*H44*H45/100000</f>
        <v>77.038387200000003</v>
      </c>
      <c r="H59" s="112"/>
      <c r="I59" s="5" t="s">
        <v>39</v>
      </c>
      <c r="J59" s="19" t="s">
        <v>46</v>
      </c>
      <c r="K59" s="40"/>
      <c r="L59" s="40"/>
      <c r="N59" s="9"/>
    </row>
    <row r="60" spans="4:16" s="5" customFormat="1" ht="15" customHeight="1" outlineLevel="1" thickBot="1">
      <c r="D60" s="38"/>
      <c r="E60" s="5" t="s">
        <v>41</v>
      </c>
      <c r="F60" s="44"/>
      <c r="G60" s="5" t="s">
        <v>42</v>
      </c>
      <c r="J60" s="19"/>
      <c r="N60" s="9"/>
    </row>
    <row r="61" spans="4:16" s="5" customFormat="1" ht="15" customHeight="1" outlineLevel="1">
      <c r="D61" s="40"/>
      <c r="G61" s="111">
        <f>+F60*H45/100000</f>
        <v>0</v>
      </c>
      <c r="H61" s="112"/>
      <c r="I61" s="5" t="s">
        <v>39</v>
      </c>
      <c r="J61" s="19" t="s">
        <v>46</v>
      </c>
      <c r="K61" s="40"/>
      <c r="L61" s="40"/>
      <c r="N61" s="9"/>
    </row>
    <row r="62" spans="4:16" s="5" customFormat="1" ht="15" customHeight="1" outlineLevel="1" thickBot="1">
      <c r="J62" s="19"/>
      <c r="N62" s="9"/>
    </row>
    <row r="63" spans="4:16" s="5" customFormat="1" ht="15" customHeight="1" outlineLevel="1" thickBot="1">
      <c r="D63" s="5" t="s">
        <v>47</v>
      </c>
      <c r="E63" s="5" t="s">
        <v>48</v>
      </c>
      <c r="F63" s="132">
        <f>SUM(G51,G53)-SUM(G59,G61)</f>
        <v>308.15354880000012</v>
      </c>
      <c r="G63" s="133"/>
      <c r="H63" s="5" t="s">
        <v>39</v>
      </c>
      <c r="J63" s="19"/>
      <c r="N63" s="9"/>
      <c r="P63" s="45"/>
    </row>
    <row r="64" spans="4:16" ht="6" customHeight="1" outlineLevel="1">
      <c r="F64" s="46"/>
      <c r="G64" s="46"/>
    </row>
    <row r="65" spans="2:11" ht="6" customHeight="1" outlineLevel="1">
      <c r="F65" s="46"/>
      <c r="G65" s="46"/>
    </row>
    <row r="66" spans="2:11" ht="20.100000000000001" customHeight="1" outlineLevel="1">
      <c r="F66" s="46"/>
      <c r="G66" s="46"/>
      <c r="K66" s="7"/>
    </row>
    <row r="67" spans="2:11" ht="20.100000000000001" customHeight="1" outlineLevel="1">
      <c r="B67" s="47" t="s">
        <v>49</v>
      </c>
      <c r="K67" s="7" t="s">
        <v>123</v>
      </c>
    </row>
    <row r="68" spans="2:11" ht="30" customHeight="1" outlineLevel="1" thickBot="1">
      <c r="B68" s="28"/>
      <c r="D68" s="134" t="s">
        <v>28</v>
      </c>
      <c r="E68" s="134"/>
      <c r="F68" s="134"/>
      <c r="G68" s="134"/>
      <c r="H68" s="134"/>
      <c r="I68" s="134"/>
      <c r="J68" s="134"/>
      <c r="K68" s="134"/>
    </row>
    <row r="69" spans="2:11" ht="399.95" customHeight="1" outlineLevel="1" thickBot="1">
      <c r="D69" s="135" t="s">
        <v>65</v>
      </c>
      <c r="E69" s="136"/>
      <c r="F69" s="136"/>
      <c r="G69" s="136"/>
      <c r="H69" s="136"/>
      <c r="I69" s="136"/>
      <c r="J69" s="136"/>
      <c r="K69" s="137"/>
    </row>
    <row r="70" spans="2:11" ht="15" customHeight="1" outlineLevel="1" thickBot="1">
      <c r="D70" s="48"/>
      <c r="E70" s="48"/>
      <c r="F70" s="48"/>
      <c r="G70" s="48"/>
      <c r="H70" s="48"/>
      <c r="I70" s="48"/>
    </row>
    <row r="71" spans="2:11" ht="45" customHeight="1" outlineLevel="1" thickBot="1">
      <c r="D71" s="138" t="s">
        <v>50</v>
      </c>
      <c r="E71" s="139"/>
      <c r="F71" s="140" t="s">
        <v>51</v>
      </c>
      <c r="G71" s="141"/>
      <c r="H71" s="141"/>
      <c r="I71" s="141"/>
      <c r="J71" s="141"/>
      <c r="K71" s="142"/>
    </row>
    <row r="72" spans="2:11" ht="15" customHeight="1" outlineLevel="1">
      <c r="D72" s="48"/>
      <c r="E72" s="48"/>
      <c r="F72" s="48"/>
      <c r="G72" s="48"/>
      <c r="H72" s="48"/>
      <c r="I72" s="48"/>
    </row>
    <row r="73" spans="2:11" ht="20.100000000000001" customHeight="1" outlineLevel="1">
      <c r="D73" s="48"/>
      <c r="E73" s="48"/>
      <c r="F73" s="48"/>
      <c r="G73" s="48"/>
      <c r="H73" s="48"/>
      <c r="I73" s="48"/>
      <c r="J73" s="49" t="s">
        <v>52</v>
      </c>
    </row>
    <row r="74" spans="2:11" ht="20.100000000000001" customHeight="1" outlineLevel="1" thickBot="1">
      <c r="D74" s="4" t="s">
        <v>53</v>
      </c>
      <c r="K74" s="50" t="s">
        <v>2</v>
      </c>
    </row>
    <row r="75" spans="2:11" ht="33" customHeight="1" outlineLevel="1" thickBot="1">
      <c r="D75" s="143" t="s">
        <v>54</v>
      </c>
      <c r="E75" s="51" t="s">
        <v>55</v>
      </c>
      <c r="F75" s="145" t="s">
        <v>56</v>
      </c>
      <c r="G75" s="145"/>
      <c r="H75" s="146" t="s">
        <v>57</v>
      </c>
      <c r="I75" s="148" t="s">
        <v>58</v>
      </c>
      <c r="K75" s="150" t="s">
        <v>59</v>
      </c>
    </row>
    <row r="76" spans="2:11" ht="30" customHeight="1" outlineLevel="1">
      <c r="D76" s="144"/>
      <c r="E76" s="52" t="s">
        <v>60</v>
      </c>
      <c r="F76" s="53" t="s">
        <v>61</v>
      </c>
      <c r="G76" s="54" t="s">
        <v>62</v>
      </c>
      <c r="H76" s="147"/>
      <c r="I76" s="149"/>
      <c r="K76" s="151"/>
    </row>
    <row r="77" spans="2:11" ht="15" customHeight="1" outlineLevel="1">
      <c r="D77" s="55">
        <v>2024</v>
      </c>
      <c r="E77" s="56">
        <v>1000</v>
      </c>
      <c r="F77" s="57"/>
      <c r="G77" s="74">
        <f>IF(E77="","",F77/E77)</f>
        <v>0</v>
      </c>
      <c r="H77" s="59"/>
      <c r="I77" s="60">
        <f>F77-H77</f>
        <v>0</v>
      </c>
      <c r="K77" s="61">
        <f t="shared" ref="K77:K93" si="2">I77*F$63/10000</f>
        <v>0</v>
      </c>
    </row>
    <row r="78" spans="2:11" ht="15" customHeight="1" outlineLevel="1">
      <c r="D78" s="55">
        <v>2025</v>
      </c>
      <c r="E78" s="56">
        <v>1000</v>
      </c>
      <c r="F78" s="57"/>
      <c r="G78" s="74">
        <f t="shared" ref="G78:G93" si="3">IF(E78="","",F78/E78)</f>
        <v>0</v>
      </c>
      <c r="H78" s="59"/>
      <c r="I78" s="60">
        <f>I77+F78-H78</f>
        <v>0</v>
      </c>
      <c r="K78" s="61">
        <f t="shared" si="2"/>
        <v>0</v>
      </c>
    </row>
    <row r="79" spans="2:11" ht="15" customHeight="1" outlineLevel="1">
      <c r="D79" s="55">
        <v>2026</v>
      </c>
      <c r="E79" s="56">
        <v>1000</v>
      </c>
      <c r="F79" s="57"/>
      <c r="G79" s="74">
        <f t="shared" si="3"/>
        <v>0</v>
      </c>
      <c r="H79" s="59"/>
      <c r="I79" s="60">
        <f t="shared" ref="I79:I92" si="4">I78+F79-H79</f>
        <v>0</v>
      </c>
      <c r="K79" s="61">
        <f t="shared" si="2"/>
        <v>0</v>
      </c>
    </row>
    <row r="80" spans="2:11" ht="15" customHeight="1" outlineLevel="1">
      <c r="D80" s="55">
        <v>2027</v>
      </c>
      <c r="E80" s="56">
        <v>1000</v>
      </c>
      <c r="F80" s="57"/>
      <c r="G80" s="74">
        <f t="shared" si="3"/>
        <v>0</v>
      </c>
      <c r="H80" s="59"/>
      <c r="I80" s="60">
        <f t="shared" si="4"/>
        <v>0</v>
      </c>
      <c r="K80" s="61">
        <f t="shared" si="2"/>
        <v>0</v>
      </c>
    </row>
    <row r="81" spans="4:11" ht="15" customHeight="1" outlineLevel="1">
      <c r="D81" s="55">
        <v>2028</v>
      </c>
      <c r="E81" s="56">
        <v>1000</v>
      </c>
      <c r="F81" s="57">
        <v>5</v>
      </c>
      <c r="G81" s="74">
        <f t="shared" si="3"/>
        <v>5.0000000000000001E-3</v>
      </c>
      <c r="H81" s="59"/>
      <c r="I81" s="60">
        <f t="shared" si="4"/>
        <v>5</v>
      </c>
      <c r="K81" s="61">
        <f t="shared" si="2"/>
        <v>0.15407677440000006</v>
      </c>
    </row>
    <row r="82" spans="4:11" ht="15" customHeight="1" outlineLevel="1">
      <c r="D82" s="55">
        <v>2029</v>
      </c>
      <c r="E82" s="56">
        <v>1000</v>
      </c>
      <c r="F82" s="57">
        <v>5</v>
      </c>
      <c r="G82" s="74">
        <f t="shared" si="3"/>
        <v>5.0000000000000001E-3</v>
      </c>
      <c r="H82" s="59"/>
      <c r="I82" s="60">
        <f t="shared" si="4"/>
        <v>10</v>
      </c>
      <c r="K82" s="61">
        <f t="shared" si="2"/>
        <v>0.30815354880000012</v>
      </c>
    </row>
    <row r="83" spans="4:11" ht="15" customHeight="1" outlineLevel="1">
      <c r="D83" s="55">
        <v>2030</v>
      </c>
      <c r="E83" s="56">
        <v>1000</v>
      </c>
      <c r="F83" s="57">
        <v>5</v>
      </c>
      <c r="G83" s="74">
        <f t="shared" si="3"/>
        <v>5.0000000000000001E-3</v>
      </c>
      <c r="H83" s="59"/>
      <c r="I83" s="60">
        <f t="shared" si="4"/>
        <v>15</v>
      </c>
      <c r="K83" s="61">
        <f t="shared" si="2"/>
        <v>0.46223032320000018</v>
      </c>
    </row>
    <row r="84" spans="4:11" ht="15" customHeight="1" outlineLevel="1">
      <c r="D84" s="55">
        <v>2031</v>
      </c>
      <c r="E84" s="56">
        <v>1000</v>
      </c>
      <c r="F84" s="57">
        <v>10</v>
      </c>
      <c r="G84" s="74">
        <f t="shared" si="3"/>
        <v>0.01</v>
      </c>
      <c r="H84" s="59"/>
      <c r="I84" s="60">
        <f t="shared" si="4"/>
        <v>25</v>
      </c>
      <c r="K84" s="61">
        <f t="shared" si="2"/>
        <v>0.77038387200000036</v>
      </c>
    </row>
    <row r="85" spans="4:11" ht="15" customHeight="1" outlineLevel="1">
      <c r="D85" s="55">
        <v>2032</v>
      </c>
      <c r="E85" s="56">
        <v>1000</v>
      </c>
      <c r="F85" s="57">
        <v>10</v>
      </c>
      <c r="G85" s="74">
        <f t="shared" si="3"/>
        <v>0.01</v>
      </c>
      <c r="H85" s="59"/>
      <c r="I85" s="60">
        <f t="shared" si="4"/>
        <v>35</v>
      </c>
      <c r="K85" s="61">
        <f t="shared" si="2"/>
        <v>1.0785374208000005</v>
      </c>
    </row>
    <row r="86" spans="4:11" ht="15" customHeight="1" outlineLevel="1">
      <c r="D86" s="55">
        <v>2033</v>
      </c>
      <c r="E86" s="56">
        <v>1000</v>
      </c>
      <c r="F86" s="57">
        <v>15</v>
      </c>
      <c r="G86" s="74">
        <f t="shared" si="3"/>
        <v>1.4999999999999999E-2</v>
      </c>
      <c r="H86" s="59"/>
      <c r="I86" s="60">
        <f t="shared" si="4"/>
        <v>50</v>
      </c>
      <c r="K86" s="61">
        <f t="shared" si="2"/>
        <v>1.5407677440000007</v>
      </c>
    </row>
    <row r="87" spans="4:11" ht="15" customHeight="1" outlineLevel="1">
      <c r="D87" s="55">
        <v>2034</v>
      </c>
      <c r="E87" s="56">
        <v>1000</v>
      </c>
      <c r="F87" s="57">
        <v>20</v>
      </c>
      <c r="G87" s="74">
        <f t="shared" si="3"/>
        <v>0.02</v>
      </c>
      <c r="H87" s="59"/>
      <c r="I87" s="60">
        <f t="shared" si="4"/>
        <v>70</v>
      </c>
      <c r="K87" s="61">
        <f t="shared" si="2"/>
        <v>2.157074841600001</v>
      </c>
    </row>
    <row r="88" spans="4:11" ht="15" customHeight="1" outlineLevel="1">
      <c r="D88" s="55">
        <v>2035</v>
      </c>
      <c r="E88" s="56">
        <v>1000</v>
      </c>
      <c r="F88" s="57">
        <v>30</v>
      </c>
      <c r="G88" s="74">
        <f t="shared" si="3"/>
        <v>0.03</v>
      </c>
      <c r="H88" s="59"/>
      <c r="I88" s="60">
        <f t="shared" si="4"/>
        <v>100</v>
      </c>
      <c r="K88" s="61">
        <f t="shared" si="2"/>
        <v>3.0815354880000014</v>
      </c>
    </row>
    <row r="89" spans="4:11" ht="15" customHeight="1" outlineLevel="1">
      <c r="D89" s="55">
        <v>2036</v>
      </c>
      <c r="E89" s="56">
        <v>1000</v>
      </c>
      <c r="F89" s="57">
        <v>40</v>
      </c>
      <c r="G89" s="74">
        <f t="shared" si="3"/>
        <v>0.04</v>
      </c>
      <c r="H89" s="59"/>
      <c r="I89" s="60">
        <f t="shared" si="4"/>
        <v>140</v>
      </c>
      <c r="K89" s="61">
        <f t="shared" si="2"/>
        <v>4.3141496832000019</v>
      </c>
    </row>
    <row r="90" spans="4:11" ht="15" customHeight="1" outlineLevel="1">
      <c r="D90" s="55">
        <v>2037</v>
      </c>
      <c r="E90" s="56">
        <v>1000</v>
      </c>
      <c r="F90" s="57">
        <v>50</v>
      </c>
      <c r="G90" s="74">
        <f t="shared" si="3"/>
        <v>0.05</v>
      </c>
      <c r="H90" s="59"/>
      <c r="I90" s="60">
        <f t="shared" si="4"/>
        <v>190</v>
      </c>
      <c r="K90" s="61">
        <f t="shared" si="2"/>
        <v>5.8549174272000029</v>
      </c>
    </row>
    <row r="91" spans="4:11" ht="15" customHeight="1" outlineLevel="1">
      <c r="D91" s="55">
        <v>2038</v>
      </c>
      <c r="E91" s="56">
        <v>1000</v>
      </c>
      <c r="F91" s="57">
        <v>60</v>
      </c>
      <c r="G91" s="74">
        <f t="shared" si="3"/>
        <v>0.06</v>
      </c>
      <c r="H91" s="59"/>
      <c r="I91" s="60">
        <f t="shared" si="4"/>
        <v>250</v>
      </c>
      <c r="K91" s="61">
        <f t="shared" si="2"/>
        <v>7.7038387200000029</v>
      </c>
    </row>
    <row r="92" spans="4:11" ht="15" customHeight="1" outlineLevel="1">
      <c r="D92" s="55">
        <v>2039</v>
      </c>
      <c r="E92" s="56">
        <v>1000</v>
      </c>
      <c r="F92" s="57">
        <v>70</v>
      </c>
      <c r="G92" s="74">
        <f t="shared" si="3"/>
        <v>7.0000000000000007E-2</v>
      </c>
      <c r="H92" s="59"/>
      <c r="I92" s="60">
        <f t="shared" si="4"/>
        <v>320</v>
      </c>
      <c r="K92" s="61">
        <f t="shared" si="2"/>
        <v>9.8609135616000039</v>
      </c>
    </row>
    <row r="93" spans="4:11" ht="15" customHeight="1" outlineLevel="1" thickBot="1">
      <c r="D93" s="55">
        <v>2040</v>
      </c>
      <c r="E93" s="62">
        <v>1000</v>
      </c>
      <c r="F93" s="63">
        <v>80</v>
      </c>
      <c r="G93" s="75">
        <f t="shared" si="3"/>
        <v>0.08</v>
      </c>
      <c r="H93" s="65"/>
      <c r="I93" s="66">
        <f>I92+F93-H93</f>
        <v>400</v>
      </c>
      <c r="K93" s="67">
        <f t="shared" si="2"/>
        <v>12.326141952000006</v>
      </c>
    </row>
    <row r="94" spans="4:11" ht="15" customHeight="1" outlineLevel="1">
      <c r="D94" s="68"/>
      <c r="E94" s="69"/>
      <c r="F94" s="70"/>
      <c r="G94" s="69"/>
      <c r="H94" s="69"/>
      <c r="I94" s="71" t="s">
        <v>63</v>
      </c>
      <c r="K94" s="72" t="s">
        <v>64</v>
      </c>
    </row>
    <row r="95" spans="4:11" ht="15" customHeight="1"/>
    <row r="96" spans="4:11" s="5" customFormat="1" ht="6" customHeight="1" outlineLevel="1"/>
    <row r="97" s="4" customFormat="1" ht="20.100000000000001" customHeight="1" outlineLevel="1"/>
    <row r="98" s="4" customFormat="1" ht="20.100000000000001" customHeight="1" outlineLevel="1"/>
    <row r="99" s="4" customFormat="1" ht="15" customHeight="1" outlineLevel="1"/>
    <row r="100" s="4" customFormat="1" ht="15" customHeight="1" outlineLevel="1"/>
    <row r="101" s="4" customFormat="1" ht="15" customHeight="1" outlineLevel="1"/>
    <row r="102" s="4" customFormat="1" ht="20.100000000000001" customHeight="1" outlineLevel="1"/>
    <row r="103" s="4" customFormat="1" ht="15" customHeight="1" outlineLevel="1"/>
    <row r="104" s="4" customFormat="1" ht="15" customHeight="1" outlineLevel="1"/>
    <row r="105" s="4" customFormat="1" ht="15" customHeight="1" outlineLevel="1"/>
    <row r="106" s="4" customFormat="1" ht="15" customHeight="1" outlineLevel="1"/>
    <row r="107" s="4" customFormat="1" ht="15" customHeight="1" outlineLevel="1"/>
    <row r="108" s="4" customFormat="1" ht="15" customHeight="1" outlineLevel="1"/>
    <row r="109" s="4" customFormat="1" ht="20.100000000000001" customHeight="1" outlineLevel="1"/>
    <row r="110" s="4" customFormat="1" ht="20.100000000000001" customHeight="1" outlineLevel="1"/>
    <row r="111" s="4" customFormat="1" ht="20.100000000000001" customHeight="1" outlineLevel="1"/>
    <row r="112" s="4" customFormat="1" ht="20.100000000000001" customHeight="1" outlineLevel="1"/>
    <row r="113" s="4" customFormat="1" ht="9.9499999999999993" customHeight="1" outlineLevel="1"/>
    <row r="114" s="4" customFormat="1" ht="52.5" customHeight="1" outlineLevel="1"/>
    <row r="115" s="4" customFormat="1" ht="15" customHeight="1" outlineLevel="1"/>
    <row r="116" s="4" customFormat="1" ht="20.100000000000001" customHeight="1" outlineLevel="1"/>
    <row r="117" s="4" customFormat="1" ht="30" customHeight="1" outlineLevel="1"/>
    <row r="118" s="4" customFormat="1" ht="399.95" customHeight="1" outlineLevel="1"/>
    <row r="119" s="5" customFormat="1" ht="15" customHeight="1" outlineLevel="1"/>
    <row r="120" s="5" customFormat="1" ht="15" customHeight="1" outlineLevel="1"/>
    <row r="121" s="5" customFormat="1" ht="15" customHeight="1" outlineLevel="1"/>
    <row r="122" s="5" customFormat="1" ht="15" customHeight="1" outlineLevel="1"/>
    <row r="123" s="5" customFormat="1" ht="15" customHeight="1" outlineLevel="1"/>
    <row r="124" s="5" customFormat="1" ht="45" customHeight="1" outlineLevel="1"/>
    <row r="125" s="5" customFormat="1" ht="15" customHeight="1" outlineLevel="1"/>
    <row r="126" s="5" customFormat="1" ht="15" customHeight="1" outlineLevel="1"/>
    <row r="127" s="5" customFormat="1" ht="15" customHeight="1" outlineLevel="1"/>
    <row r="128" s="5" customFormat="1" ht="15" customHeight="1" outlineLevel="1"/>
    <row r="129" s="5" customFormat="1" ht="15" customHeight="1" outlineLevel="1"/>
    <row r="130" s="5" customFormat="1" ht="15" customHeight="1" outlineLevel="1"/>
    <row r="131" s="5" customFormat="1" ht="15" customHeight="1" outlineLevel="1"/>
    <row r="132" s="5" customFormat="1" ht="45" customHeight="1" outlineLevel="1"/>
    <row r="133" s="5" customFormat="1" ht="15" customHeight="1" outlineLevel="1"/>
    <row r="134" s="5" customFormat="1" ht="15" customHeight="1" outlineLevel="1"/>
    <row r="135" s="5" customFormat="1" ht="15" customHeight="1" outlineLevel="1"/>
    <row r="136" s="5" customFormat="1" ht="15" customHeight="1" outlineLevel="1"/>
    <row r="137" s="5" customFormat="1" ht="15" customHeight="1" outlineLevel="1"/>
    <row r="138" s="5" customFormat="1" ht="15" customHeight="1" outlineLevel="1"/>
    <row r="139" s="5" customFormat="1" ht="15" customHeight="1" outlineLevel="1"/>
    <row r="140" s="4" customFormat="1" ht="6" customHeight="1" outlineLevel="1"/>
    <row r="141" s="4" customFormat="1" ht="6" customHeight="1" outlineLevel="1"/>
    <row r="142" s="4" customFormat="1" ht="20.100000000000001" customHeight="1" outlineLevel="1"/>
    <row r="143" s="4" customFormat="1" ht="20.100000000000001" customHeight="1" outlineLevel="1"/>
    <row r="144" s="4" customFormat="1" ht="30" customHeight="1" outlineLevel="1"/>
    <row r="145" s="4" customFormat="1" ht="399.95" customHeight="1" outlineLevel="1"/>
    <row r="146" s="4" customFormat="1" ht="15" customHeight="1" outlineLevel="1"/>
    <row r="147" s="4" customFormat="1" ht="45" customHeight="1" outlineLevel="1"/>
    <row r="148" s="4" customFormat="1" ht="15" customHeight="1" outlineLevel="1"/>
    <row r="149" s="4" customFormat="1" ht="20.100000000000001" customHeight="1" outlineLevel="1"/>
    <row r="150" s="4" customFormat="1" ht="20.100000000000001" customHeight="1" outlineLevel="1"/>
    <row r="151" s="4" customFormat="1" ht="33" customHeight="1" outlineLevel="1"/>
    <row r="152" s="4" customFormat="1" ht="30" customHeight="1" outlineLevel="1"/>
    <row r="153" s="4" customFormat="1" ht="15" customHeight="1" outlineLevel="1"/>
    <row r="154" s="4" customFormat="1" ht="15" customHeight="1" outlineLevel="1"/>
    <row r="155" s="4" customFormat="1" ht="15" customHeight="1" outlineLevel="1"/>
    <row r="156" s="4" customFormat="1" ht="15" customHeight="1" outlineLevel="1"/>
    <row r="157" s="4" customFormat="1" ht="15" customHeight="1" outlineLevel="1"/>
    <row r="158" s="4" customFormat="1" ht="15" customHeight="1" outlineLevel="1"/>
    <row r="159" s="4" customFormat="1" ht="15" customHeight="1" outlineLevel="1"/>
    <row r="160" s="4" customFormat="1" ht="15" customHeight="1" outlineLevel="1"/>
    <row r="161" spans="10:14" ht="15" customHeight="1" outlineLevel="1">
      <c r="J161" s="4"/>
      <c r="N161" s="4"/>
    </row>
    <row r="162" spans="10:14" ht="15" customHeight="1" outlineLevel="1">
      <c r="J162" s="4"/>
      <c r="N162" s="4"/>
    </row>
    <row r="163" spans="10:14" ht="15" customHeight="1" outlineLevel="1">
      <c r="J163" s="4"/>
      <c r="N163" s="4"/>
    </row>
    <row r="164" spans="10:14" ht="15" customHeight="1" outlineLevel="1">
      <c r="J164" s="4"/>
      <c r="N164" s="4"/>
    </row>
    <row r="165" spans="10:14" ht="15" customHeight="1" outlineLevel="1">
      <c r="J165" s="4"/>
      <c r="N165" s="4"/>
    </row>
    <row r="166" spans="10:14" ht="15" customHeight="1" outlineLevel="1">
      <c r="J166" s="4"/>
      <c r="N166" s="4"/>
    </row>
    <row r="167" spans="10:14" ht="15" customHeight="1" outlineLevel="1">
      <c r="J167" s="4"/>
      <c r="N167" s="4"/>
    </row>
    <row r="168" spans="10:14" ht="15" customHeight="1" outlineLevel="1">
      <c r="J168" s="4"/>
      <c r="N168" s="4"/>
    </row>
    <row r="169" spans="10:14" ht="15" customHeight="1" outlineLevel="1">
      <c r="J169" s="4"/>
      <c r="N169" s="4"/>
    </row>
    <row r="170" spans="10:14" ht="15" customHeight="1" outlineLevel="1">
      <c r="J170" s="4"/>
      <c r="N170" s="4"/>
    </row>
    <row r="171" spans="10:14" ht="15" customHeight="1"/>
    <row r="172" spans="10:14" s="5" customFormat="1" ht="6" customHeight="1" outlineLevel="1"/>
    <row r="173" spans="10:14" ht="20.100000000000001" customHeight="1" outlineLevel="1">
      <c r="J173" s="4"/>
      <c r="N173" s="4"/>
    </row>
    <row r="174" spans="10:14" ht="20.100000000000001" customHeight="1" outlineLevel="1">
      <c r="J174" s="4"/>
      <c r="N174" s="4"/>
    </row>
    <row r="175" spans="10:14" ht="15" customHeight="1" outlineLevel="1">
      <c r="J175" s="4"/>
      <c r="N175" s="4"/>
    </row>
    <row r="176" spans="10:14" ht="15" customHeight="1" outlineLevel="1">
      <c r="J176" s="4"/>
      <c r="N176" s="4"/>
    </row>
    <row r="177" s="4" customFormat="1" ht="15" customHeight="1" outlineLevel="1"/>
    <row r="178" s="4" customFormat="1" ht="20.100000000000001" customHeight="1" outlineLevel="1"/>
    <row r="179" s="4" customFormat="1" ht="15" customHeight="1" outlineLevel="1"/>
    <row r="180" s="4" customFormat="1" ht="15" customHeight="1" outlineLevel="1"/>
    <row r="181" s="4" customFormat="1" ht="15" customHeight="1" outlineLevel="1"/>
    <row r="182" s="4" customFormat="1" ht="15" customHeight="1" outlineLevel="1"/>
    <row r="183" s="4" customFormat="1" ht="15" customHeight="1" outlineLevel="1"/>
    <row r="184" s="4" customFormat="1" ht="15" customHeight="1" outlineLevel="1"/>
    <row r="185" s="4" customFormat="1" ht="20.100000000000001" customHeight="1" outlineLevel="1"/>
    <row r="186" s="4" customFormat="1" ht="12.75" customHeight="1" outlineLevel="1"/>
    <row r="187" s="4" customFormat="1" ht="20.100000000000001" customHeight="1" outlineLevel="1"/>
    <row r="188" s="4" customFormat="1" ht="20.100000000000001" customHeight="1" outlineLevel="1"/>
    <row r="189" s="4" customFormat="1" ht="9.9499999999999993" customHeight="1" outlineLevel="1"/>
    <row r="190" s="4" customFormat="1" ht="52.5" customHeight="1" outlineLevel="1"/>
    <row r="191" s="4" customFormat="1" ht="15" customHeight="1" outlineLevel="1"/>
    <row r="192" s="4" customFormat="1" ht="20.100000000000001" customHeight="1" outlineLevel="1"/>
    <row r="193" s="4" customFormat="1" ht="30" customHeight="1" outlineLevel="1"/>
    <row r="194" s="4" customFormat="1" ht="399.95" customHeight="1" outlineLevel="1"/>
    <row r="195" s="5" customFormat="1" ht="15" customHeight="1" outlineLevel="1"/>
    <row r="196" s="5" customFormat="1" ht="15" customHeight="1" outlineLevel="1"/>
    <row r="197" s="5" customFormat="1" ht="15" customHeight="1" outlineLevel="1"/>
    <row r="198" s="5" customFormat="1" ht="15" customHeight="1" outlineLevel="1"/>
    <row r="199" s="5" customFormat="1" ht="15" customHeight="1" outlineLevel="1"/>
    <row r="200" s="5" customFormat="1" ht="45" customHeight="1" outlineLevel="1"/>
    <row r="201" s="5" customFormat="1" ht="15" customHeight="1" outlineLevel="1"/>
    <row r="202" s="5" customFormat="1" ht="15" customHeight="1" outlineLevel="1"/>
    <row r="203" s="5" customFormat="1" ht="15" customHeight="1" outlineLevel="1"/>
    <row r="204" s="5" customFormat="1" ht="15" customHeight="1" outlineLevel="1"/>
    <row r="205" s="5" customFormat="1" ht="15" customHeight="1" outlineLevel="1"/>
    <row r="206" s="5" customFormat="1" ht="15" customHeight="1" outlineLevel="1"/>
    <row r="207" s="5" customFormat="1" ht="15" customHeight="1" outlineLevel="1"/>
    <row r="208" s="5" customFormat="1" ht="45" customHeight="1" outlineLevel="1"/>
    <row r="209" s="5" customFormat="1" ht="15" customHeight="1" outlineLevel="1"/>
    <row r="210" s="5" customFormat="1" ht="15" customHeight="1" outlineLevel="1"/>
    <row r="211" s="5" customFormat="1" ht="15" customHeight="1" outlineLevel="1"/>
    <row r="212" s="5" customFormat="1" ht="15" customHeight="1" outlineLevel="1"/>
    <row r="213" s="5" customFormat="1" ht="15" customHeight="1" outlineLevel="1"/>
    <row r="214" s="5" customFormat="1" ht="15" customHeight="1" outlineLevel="1"/>
    <row r="215" s="5" customFormat="1" ht="15" customHeight="1" outlineLevel="1"/>
    <row r="216" s="4" customFormat="1" ht="6" customHeight="1" outlineLevel="1"/>
    <row r="217" s="4" customFormat="1" ht="6" customHeight="1" outlineLevel="1"/>
    <row r="218" s="4" customFormat="1" ht="20.100000000000001" customHeight="1" outlineLevel="1"/>
    <row r="219" s="4" customFormat="1" ht="20.100000000000001" customHeight="1" outlineLevel="1"/>
    <row r="220" s="4" customFormat="1" ht="30" customHeight="1" outlineLevel="1"/>
    <row r="221" s="4" customFormat="1" ht="399.95" customHeight="1" outlineLevel="1"/>
    <row r="222" s="4" customFormat="1" ht="15" customHeight="1" outlineLevel="1"/>
    <row r="223" s="4" customFormat="1" ht="45" customHeight="1" outlineLevel="1"/>
    <row r="224" s="4" customFormat="1" ht="15" customHeight="1" outlineLevel="1"/>
    <row r="225" s="4" customFormat="1" ht="20.100000000000001" customHeight="1" outlineLevel="1"/>
    <row r="226" s="4" customFormat="1" ht="20.100000000000001" customHeight="1" outlineLevel="1"/>
    <row r="227" s="4" customFormat="1" ht="33" customHeight="1" outlineLevel="1"/>
    <row r="228" s="4" customFormat="1" ht="30" customHeight="1" outlineLevel="1"/>
    <row r="229" s="4" customFormat="1" ht="15" customHeight="1" outlineLevel="1"/>
    <row r="230" s="4" customFormat="1" ht="15" customHeight="1" outlineLevel="1"/>
    <row r="231" s="4" customFormat="1" ht="15" customHeight="1" outlineLevel="1"/>
    <row r="232" s="4" customFormat="1" ht="15" customHeight="1" outlineLevel="1"/>
    <row r="233" s="4" customFormat="1" ht="15" customHeight="1" outlineLevel="1"/>
    <row r="234" s="4" customFormat="1" ht="15" customHeight="1" outlineLevel="1"/>
    <row r="235" s="4" customFormat="1" ht="15" customHeight="1" outlineLevel="1"/>
    <row r="236" s="4" customFormat="1" ht="15" customHeight="1" outlineLevel="1"/>
    <row r="237" s="4" customFormat="1" ht="15" customHeight="1" outlineLevel="1"/>
    <row r="238" s="4" customFormat="1" ht="15" customHeight="1" outlineLevel="1"/>
    <row r="239" s="4" customFormat="1" ht="15" customHeight="1" outlineLevel="1"/>
    <row r="240" s="4" customFormat="1" ht="15" customHeight="1" outlineLevel="1"/>
    <row r="241" spans="10:14" ht="15" customHeight="1" outlineLevel="1">
      <c r="J241" s="4"/>
      <c r="N241" s="4"/>
    </row>
    <row r="242" spans="10:14" ht="15" customHeight="1" outlineLevel="1">
      <c r="J242" s="4"/>
      <c r="N242" s="4"/>
    </row>
    <row r="243" spans="10:14" ht="15" customHeight="1" outlineLevel="1">
      <c r="J243" s="4"/>
      <c r="N243" s="4"/>
    </row>
    <row r="244" spans="10:14" ht="15" customHeight="1" outlineLevel="1">
      <c r="J244" s="4"/>
      <c r="N244" s="4"/>
    </row>
    <row r="245" spans="10:14" ht="15" customHeight="1" outlineLevel="1">
      <c r="J245" s="4"/>
      <c r="N245" s="4"/>
    </row>
    <row r="246" spans="10:14" ht="15" customHeight="1" outlineLevel="1">
      <c r="J246" s="4"/>
      <c r="N246" s="4"/>
    </row>
    <row r="247" spans="10:14" ht="15" customHeight="1"/>
    <row r="248" spans="10:14" ht="6" customHeight="1" outlineLevel="1">
      <c r="J248" s="4"/>
      <c r="N248" s="4"/>
    </row>
    <row r="249" spans="10:14" ht="20.100000000000001" customHeight="1" outlineLevel="1">
      <c r="J249" s="4"/>
      <c r="N249" s="4"/>
    </row>
    <row r="250" spans="10:14" ht="20.100000000000001" customHeight="1" outlineLevel="1">
      <c r="J250" s="4"/>
      <c r="N250" s="4"/>
    </row>
    <row r="251" spans="10:14" ht="15" customHeight="1" outlineLevel="1">
      <c r="J251" s="4"/>
      <c r="N251" s="4"/>
    </row>
    <row r="252" spans="10:14" ht="15" customHeight="1" outlineLevel="1">
      <c r="J252" s="4"/>
      <c r="N252" s="4"/>
    </row>
    <row r="253" spans="10:14" ht="15" customHeight="1" outlineLevel="1">
      <c r="J253" s="4"/>
      <c r="N253" s="4"/>
    </row>
    <row r="254" spans="10:14" ht="20.100000000000001" customHeight="1" outlineLevel="1">
      <c r="J254" s="4"/>
      <c r="N254" s="4"/>
    </row>
    <row r="255" spans="10:14" ht="15" customHeight="1" outlineLevel="1">
      <c r="J255" s="4"/>
      <c r="N255" s="4"/>
    </row>
    <row r="256" spans="10:14" ht="15" customHeight="1" outlineLevel="1">
      <c r="J256" s="4"/>
      <c r="N256" s="4"/>
    </row>
    <row r="257" s="4" customFormat="1" ht="20.100000000000001" customHeight="1" outlineLevel="1"/>
    <row r="258" s="4" customFormat="1" ht="20.100000000000001" customHeight="1" outlineLevel="1"/>
    <row r="259" s="4" customFormat="1" ht="20.100000000000001" customHeight="1" outlineLevel="1"/>
    <row r="260" s="4" customFormat="1" ht="20.100000000000001" customHeight="1" outlineLevel="1"/>
    <row r="261" s="4" customFormat="1" ht="9.9499999999999993" customHeight="1" outlineLevel="1"/>
    <row r="262" s="4" customFormat="1" ht="52.5" customHeight="1" outlineLevel="1"/>
    <row r="263" s="4" customFormat="1" ht="15" customHeight="1" outlineLevel="1"/>
    <row r="264" s="4" customFormat="1" ht="20.100000000000001" customHeight="1" outlineLevel="1"/>
    <row r="265" s="73" customFormat="1" ht="30" customHeight="1" outlineLevel="1"/>
    <row r="266" s="73" customFormat="1" ht="399.95" customHeight="1" outlineLevel="1"/>
    <row r="267" s="73" customFormat="1" ht="13.5" outlineLevel="1"/>
    <row r="268" s="73" customFormat="1" ht="13.5" outlineLevel="1"/>
    <row r="269" s="73" customFormat="1" ht="13.5" outlineLevel="1"/>
    <row r="270" s="73" customFormat="1" ht="13.5" outlineLevel="1"/>
    <row r="271" s="73" customFormat="1" ht="13.5" outlineLevel="1"/>
    <row r="272" s="73" customFormat="1" ht="90" customHeight="1" outlineLevel="1"/>
    <row r="273" s="73" customFormat="1" ht="13.5" outlineLevel="1"/>
    <row r="274" s="73" customFormat="1" ht="13.5" outlineLevel="1"/>
    <row r="275" s="73" customFormat="1" ht="90" customHeight="1" outlineLevel="1"/>
    <row r="276" s="73" customFormat="1" ht="13.5" outlineLevel="1"/>
    <row r="277" s="73" customFormat="1" ht="13.5" outlineLevel="1"/>
    <row r="278" s="73" customFormat="1" ht="13.5" outlineLevel="1"/>
    <row r="279" s="73" customFormat="1" ht="20.100000000000001" customHeight="1" outlineLevel="1"/>
    <row r="280" s="73" customFormat="1" ht="20.100000000000001" customHeight="1" outlineLevel="1"/>
    <row r="281" s="73" customFormat="1" ht="30" customHeight="1" outlineLevel="1"/>
    <row r="282" s="73" customFormat="1" ht="399.95" customHeight="1" outlineLevel="1"/>
    <row r="283" s="73" customFormat="1" ht="15" customHeight="1" outlineLevel="1"/>
    <row r="284" s="73" customFormat="1" ht="45" customHeight="1" outlineLevel="1"/>
    <row r="285" s="73" customFormat="1" ht="15" customHeight="1" outlineLevel="1"/>
    <row r="286" s="73" customFormat="1" ht="20.100000000000001" customHeight="1" outlineLevel="1"/>
    <row r="287" s="73" customFormat="1" ht="20.100000000000001" customHeight="1" outlineLevel="1"/>
    <row r="288" s="73" customFormat="1" ht="33" customHeight="1" outlineLevel="1"/>
    <row r="289" s="73" customFormat="1" ht="30" customHeight="1" outlineLevel="1"/>
    <row r="290" s="73" customFormat="1" ht="15" customHeight="1" outlineLevel="1"/>
    <row r="291" s="73" customFormat="1" ht="15" customHeight="1" outlineLevel="1"/>
    <row r="292" s="73" customFormat="1" ht="15" customHeight="1" outlineLevel="1"/>
    <row r="293" s="73" customFormat="1" ht="15" customHeight="1" outlineLevel="1"/>
    <row r="294" s="73" customFormat="1" ht="15" customHeight="1" outlineLevel="1"/>
    <row r="295" s="73" customFormat="1" ht="15" customHeight="1" outlineLevel="1"/>
    <row r="296" s="73" customFormat="1" ht="15" customHeight="1" outlineLevel="1"/>
    <row r="297" s="73" customFormat="1" ht="15" customHeight="1" outlineLevel="1"/>
    <row r="298" s="73" customFormat="1" ht="15" customHeight="1" outlineLevel="1"/>
    <row r="299" s="73" customFormat="1" ht="15" customHeight="1" outlineLevel="1"/>
    <row r="300" s="73" customFormat="1" ht="15" customHeight="1" outlineLevel="1"/>
    <row r="301" s="73" customFormat="1" ht="15" customHeight="1" outlineLevel="1"/>
    <row r="302" s="73" customFormat="1" ht="15" customHeight="1" outlineLevel="1"/>
    <row r="303" s="73" customFormat="1" ht="15" customHeight="1" outlineLevel="1"/>
    <row r="304" s="73" customFormat="1" ht="15" customHeight="1" outlineLevel="1"/>
    <row r="305" s="73" customFormat="1" ht="15" customHeight="1" outlineLevel="1"/>
    <row r="306" s="73" customFormat="1" ht="15" customHeight="1" outlineLevel="1"/>
    <row r="307" s="73" customFormat="1" ht="15" customHeight="1" outlineLevel="1"/>
    <row r="308" ht="15" customHeight="1"/>
  </sheetData>
  <mergeCells count="28">
    <mergeCell ref="G61:H61"/>
    <mergeCell ref="F63:G63"/>
    <mergeCell ref="D68:K68"/>
    <mergeCell ref="D69:K69"/>
    <mergeCell ref="D71:E71"/>
    <mergeCell ref="F71:K71"/>
    <mergeCell ref="D75:D76"/>
    <mergeCell ref="F75:G75"/>
    <mergeCell ref="H75:H76"/>
    <mergeCell ref="I75:I76"/>
    <mergeCell ref="K75:K76"/>
    <mergeCell ref="G59:H59"/>
    <mergeCell ref="F23:H23"/>
    <mergeCell ref="F26:G26"/>
    <mergeCell ref="F33:G33"/>
    <mergeCell ref="F36:G36"/>
    <mergeCell ref="F38:K38"/>
    <mergeCell ref="D41:K41"/>
    <mergeCell ref="D42:K42"/>
    <mergeCell ref="F48:K48"/>
    <mergeCell ref="G51:H51"/>
    <mergeCell ref="G53:H53"/>
    <mergeCell ref="F56:K56"/>
    <mergeCell ref="B5:K5"/>
    <mergeCell ref="F11:H11"/>
    <mergeCell ref="F13:H13"/>
    <mergeCell ref="C16:K16"/>
    <mergeCell ref="C17:K18"/>
  </mergeCells>
  <phoneticPr fontId="2"/>
  <dataValidations count="1">
    <dataValidation type="list" allowBlank="1" showInputMessage="1" showErrorMessage="1" sqref="H32" xr:uid="{085251EF-2087-4AB4-BD15-63369B807CCA}">
      <formula1>$D$77:$D$93</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2" manualBreakCount="2">
    <brk id="19" max="16383" man="1"/>
    <brk id="6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8272B-DF0A-4D8A-BACF-F5D762C85EC0}">
  <sheetPr>
    <pageSetUpPr fitToPage="1"/>
  </sheetPr>
  <dimension ref="A1:U308"/>
  <sheetViews>
    <sheetView zoomScaleNormal="100" workbookViewId="0"/>
  </sheetViews>
  <sheetFormatPr defaultRowHeight="18.75" outlineLevelRow="1"/>
  <cols>
    <col min="1" max="1" width="1.625" style="4" customWidth="1"/>
    <col min="2" max="3" width="4.25" style="4" customWidth="1"/>
    <col min="4" max="4" width="9" style="4"/>
    <col min="5" max="9" width="17.625" style="4" customWidth="1"/>
    <col min="10" max="10" width="1.625" style="16" customWidth="1"/>
    <col min="11" max="11" width="22.625" style="4" customWidth="1"/>
    <col min="12" max="12" width="1.625" style="4" customWidth="1"/>
    <col min="13" max="13" width="2.625" style="4" customWidth="1"/>
    <col min="14" max="14" width="8.625" style="9" customWidth="1"/>
    <col min="15" max="17" width="8.625" style="4" customWidth="1"/>
    <col min="18" max="25" width="8.125" style="4" customWidth="1"/>
    <col min="26" max="16384" width="9" style="4"/>
  </cols>
  <sheetData>
    <row r="1" spans="2:14" ht="5.25" customHeight="1" thickBot="1">
      <c r="B1" s="1"/>
      <c r="C1" s="1"/>
      <c r="D1" s="1"/>
      <c r="E1" s="1"/>
      <c r="F1" s="1"/>
      <c r="G1" s="1"/>
      <c r="H1" s="1"/>
      <c r="I1" s="1"/>
      <c r="J1" s="2"/>
      <c r="K1" s="1"/>
      <c r="L1" s="1"/>
      <c r="M1" s="1"/>
      <c r="N1" s="3"/>
    </row>
    <row r="2" spans="2:14" ht="15" customHeight="1" thickBot="1">
      <c r="B2" s="1"/>
      <c r="C2" s="1"/>
      <c r="E2" s="5"/>
      <c r="F2" s="3"/>
      <c r="G2" s="6"/>
      <c r="H2" s="1"/>
      <c r="J2" s="7" t="s">
        <v>0</v>
      </c>
      <c r="K2" s="8"/>
      <c r="L2" s="1"/>
      <c r="M2" s="1"/>
      <c r="N2" s="3"/>
    </row>
    <row r="3" spans="2:14" ht="15" customHeight="1">
      <c r="B3" s="1"/>
      <c r="C3" s="1"/>
      <c r="D3" s="9"/>
      <c r="E3" s="5"/>
      <c r="F3" s="6"/>
      <c r="H3" s="1"/>
      <c r="J3" s="2"/>
      <c r="K3" s="7" t="s">
        <v>123</v>
      </c>
      <c r="L3" s="1"/>
      <c r="M3" s="1"/>
      <c r="N3" s="10"/>
    </row>
    <row r="4" spans="2:14" s="5" customFormat="1" ht="15" customHeight="1">
      <c r="B4" s="11" t="s">
        <v>1</v>
      </c>
      <c r="C4" s="6"/>
      <c r="D4" s="6"/>
      <c r="E4" s="10"/>
      <c r="F4" s="6"/>
      <c r="G4" s="6"/>
      <c r="J4" s="12"/>
      <c r="K4" s="6"/>
      <c r="L4" s="6"/>
      <c r="M4" s="13"/>
      <c r="N4" s="3"/>
    </row>
    <row r="5" spans="2:14" ht="20.100000000000001" customHeight="1">
      <c r="B5" s="97" t="s">
        <v>2</v>
      </c>
      <c r="C5" s="97"/>
      <c r="D5" s="97"/>
      <c r="E5" s="97"/>
      <c r="F5" s="97"/>
      <c r="G5" s="97"/>
      <c r="H5" s="97"/>
      <c r="I5" s="97"/>
      <c r="J5" s="97"/>
      <c r="K5" s="97"/>
      <c r="L5" s="1"/>
      <c r="M5" s="14"/>
      <c r="N5" s="3"/>
    </row>
    <row r="6" spans="2:14" ht="20.100000000000001" customHeight="1" thickBot="1">
      <c r="B6" s="15" t="s">
        <v>3</v>
      </c>
      <c r="H6" s="1"/>
      <c r="I6" s="1"/>
    </row>
    <row r="7" spans="2:14" s="5" customFormat="1" ht="15" customHeight="1" thickBot="1">
      <c r="B7" s="17"/>
      <c r="C7" s="5" t="s">
        <v>4</v>
      </c>
      <c r="E7" s="5" t="s">
        <v>5</v>
      </c>
      <c r="G7" s="18" t="s">
        <v>6</v>
      </c>
      <c r="H7" s="6"/>
      <c r="I7" s="6"/>
      <c r="J7" s="19"/>
      <c r="N7" s="9"/>
    </row>
    <row r="8" spans="2:14" s="5" customFormat="1" ht="15" customHeight="1" thickBot="1">
      <c r="B8" s="17"/>
      <c r="E8" s="5" t="s">
        <v>7</v>
      </c>
      <c r="G8" s="18" t="s">
        <v>8</v>
      </c>
      <c r="H8" s="6"/>
      <c r="I8" s="6"/>
      <c r="J8" s="19"/>
      <c r="N8" s="9"/>
    </row>
    <row r="9" spans="2:14" s="5" customFormat="1" ht="15" customHeight="1" thickBot="1">
      <c r="B9" s="17"/>
      <c r="E9" s="5" t="s">
        <v>9</v>
      </c>
      <c r="G9" s="18" t="s">
        <v>10</v>
      </c>
      <c r="H9" s="6"/>
      <c r="I9" s="6"/>
      <c r="J9" s="19"/>
      <c r="N9" s="9"/>
    </row>
    <row r="10" spans="2:14" s="5" customFormat="1" ht="15" customHeight="1" thickBot="1">
      <c r="C10" s="5" t="s">
        <v>11</v>
      </c>
      <c r="J10" s="19"/>
      <c r="N10" s="9"/>
    </row>
    <row r="11" spans="2:14" ht="30" customHeight="1" thickTop="1" thickBot="1">
      <c r="D11" s="5" t="s">
        <v>12</v>
      </c>
      <c r="E11" s="5"/>
      <c r="F11" s="98" t="e">
        <f>F26+#REF!+#REF!+#REF!</f>
        <v>#REF!</v>
      </c>
      <c r="G11" s="99"/>
      <c r="H11" s="100"/>
      <c r="I11" s="4" t="s">
        <v>13</v>
      </c>
    </row>
    <row r="12" spans="2:14" ht="15" customHeight="1" thickTop="1" thickBot="1">
      <c r="C12" s="5" t="s">
        <v>14</v>
      </c>
      <c r="D12" s="5"/>
      <c r="E12" s="5"/>
      <c r="F12" s="5"/>
      <c r="G12" s="5"/>
      <c r="H12" s="5"/>
    </row>
    <row r="13" spans="2:14" ht="20.100000000000001" customHeight="1" thickTop="1" thickBot="1">
      <c r="D13" s="5" t="s">
        <v>12</v>
      </c>
      <c r="E13" s="5"/>
      <c r="F13" s="101" t="e">
        <f>IF(F36+#REF!+#REF!+#REF!=0,"-",F36+#REF!+#REF!+#REF!)</f>
        <v>#REF!</v>
      </c>
      <c r="G13" s="102"/>
      <c r="H13" s="103"/>
      <c r="I13" s="4" t="s">
        <v>13</v>
      </c>
    </row>
    <row r="14" spans="2:14" ht="15" customHeight="1" thickTop="1">
      <c r="C14" s="20"/>
      <c r="D14" s="5"/>
      <c r="E14" s="5"/>
      <c r="F14" s="21" t="e">
        <f>IF(F11&gt;=100,"エラー：過大の可能性がある値が記載されておりますので今一度ご確認ください。","")</f>
        <v>#REF!</v>
      </c>
      <c r="G14" s="22"/>
    </row>
    <row r="15" spans="2:14" ht="399.95" customHeight="1">
      <c r="D15" s="23"/>
    </row>
    <row r="16" spans="2:14" s="5" customFormat="1" ht="15" customHeight="1" thickBot="1">
      <c r="C16" s="104" t="s">
        <v>15</v>
      </c>
      <c r="D16" s="104"/>
      <c r="E16" s="104"/>
      <c r="F16" s="104"/>
      <c r="G16" s="104"/>
      <c r="H16" s="104"/>
      <c r="I16" s="104"/>
      <c r="J16" s="104"/>
      <c r="K16" s="104"/>
      <c r="M16" s="9"/>
      <c r="N16" s="9"/>
    </row>
    <row r="17" spans="2:21" s="5" customFormat="1" ht="150" customHeight="1">
      <c r="C17" s="154" t="s">
        <v>125</v>
      </c>
      <c r="D17" s="155"/>
      <c r="E17" s="155"/>
      <c r="F17" s="155"/>
      <c r="G17" s="155"/>
      <c r="H17" s="155"/>
      <c r="I17" s="155"/>
      <c r="J17" s="155"/>
      <c r="K17" s="156"/>
      <c r="M17" s="93"/>
      <c r="N17" s="93"/>
      <c r="O17" s="93"/>
      <c r="P17" s="93"/>
      <c r="Q17" s="93"/>
      <c r="R17" s="93"/>
      <c r="S17" s="24"/>
    </row>
    <row r="18" spans="2:21" s="5" customFormat="1" ht="150" customHeight="1" thickBot="1">
      <c r="C18" s="157"/>
      <c r="D18" s="158"/>
      <c r="E18" s="158"/>
      <c r="F18" s="158"/>
      <c r="G18" s="158"/>
      <c r="H18" s="158"/>
      <c r="I18" s="158"/>
      <c r="J18" s="158"/>
      <c r="K18" s="159"/>
      <c r="M18" s="93"/>
      <c r="N18" s="93"/>
      <c r="O18" s="93"/>
      <c r="P18" s="93"/>
      <c r="Q18" s="93"/>
      <c r="R18" s="93"/>
    </row>
    <row r="19" spans="2:21" s="5" customFormat="1" ht="6" customHeight="1">
      <c r="D19" s="25"/>
      <c r="J19" s="19"/>
      <c r="M19" s="83"/>
      <c r="N19" s="84"/>
      <c r="O19" s="83"/>
      <c r="P19" s="83"/>
      <c r="Q19" s="83"/>
      <c r="R19" s="83"/>
      <c r="S19" s="83"/>
      <c r="T19" s="83"/>
      <c r="U19" s="83"/>
    </row>
    <row r="20" spans="2:21" s="5" customFormat="1" ht="6" customHeight="1" outlineLevel="1">
      <c r="D20" s="25"/>
      <c r="J20" s="19"/>
      <c r="M20" s="83"/>
      <c r="N20" s="84"/>
      <c r="O20" s="85"/>
      <c r="P20" s="85"/>
      <c r="Q20" s="85"/>
      <c r="R20" s="85"/>
      <c r="S20" s="85"/>
      <c r="T20" s="85"/>
      <c r="U20" s="86"/>
    </row>
    <row r="21" spans="2:21" ht="20.100000000000001" customHeight="1" outlineLevel="1">
      <c r="B21" s="26" t="s">
        <v>16</v>
      </c>
      <c r="C21" s="20"/>
      <c r="D21" s="27"/>
      <c r="K21" s="7"/>
      <c r="M21" s="87"/>
      <c r="N21" s="84" t="s">
        <v>115</v>
      </c>
      <c r="O21" s="85"/>
      <c r="P21" s="85"/>
      <c r="Q21" s="85"/>
      <c r="R21" s="85"/>
      <c r="S21" s="85"/>
      <c r="T21" s="85"/>
      <c r="U21" s="83"/>
    </row>
    <row r="22" spans="2:21" ht="20.100000000000001" customHeight="1" outlineLevel="1" thickBot="1">
      <c r="B22" s="28" t="s">
        <v>17</v>
      </c>
      <c r="H22" s="1"/>
      <c r="K22" s="7" t="s">
        <v>123</v>
      </c>
      <c r="M22" s="87"/>
      <c r="N22" s="84"/>
      <c r="O22" s="84"/>
      <c r="P22" s="87" t="s">
        <v>116</v>
      </c>
      <c r="Q22" s="87" t="s">
        <v>117</v>
      </c>
      <c r="R22" s="87" t="s">
        <v>118</v>
      </c>
      <c r="S22" s="87" t="s">
        <v>119</v>
      </c>
      <c r="T22" s="87"/>
      <c r="U22" s="87"/>
    </row>
    <row r="23" spans="2:21" ht="15" customHeight="1" outlineLevel="1" thickBot="1">
      <c r="B23" s="28"/>
      <c r="C23" s="5" t="s">
        <v>18</v>
      </c>
      <c r="D23" s="5"/>
      <c r="E23" s="5"/>
      <c r="F23" s="113" t="s">
        <v>121</v>
      </c>
      <c r="G23" s="114"/>
      <c r="H23" s="115"/>
      <c r="I23" s="1"/>
      <c r="M23" s="87"/>
      <c r="N23" s="84"/>
      <c r="O23" s="88"/>
      <c r="P23" s="89" t="str">
        <f>IF(F23="","",F23)</f>
        <v>基礎化学品Xのバイオプロセス生産による省エネルギー</v>
      </c>
      <c r="Q23" s="89" t="e">
        <f>IF(#REF!="","",#REF!)</f>
        <v>#REF!</v>
      </c>
      <c r="R23" s="89" t="e">
        <f>IF(#REF!="","",#REF!)</f>
        <v>#REF!</v>
      </c>
      <c r="S23" s="89" t="e">
        <f>IF(#REF!="","",#REF!)</f>
        <v>#REF!</v>
      </c>
      <c r="T23" s="90" t="s">
        <v>120</v>
      </c>
      <c r="U23" s="87"/>
    </row>
    <row r="24" spans="2:21" ht="15" customHeight="1" outlineLevel="1">
      <c r="B24" s="28"/>
      <c r="C24" s="5"/>
      <c r="D24" s="5"/>
      <c r="E24" s="6"/>
      <c r="F24" s="6"/>
      <c r="G24" s="6"/>
      <c r="H24" s="6"/>
      <c r="I24" s="1"/>
      <c r="M24" s="87"/>
      <c r="N24" s="84"/>
      <c r="O24" s="91">
        <v>2024</v>
      </c>
      <c r="P24" s="92">
        <f t="shared" ref="P24:P40" si="0">K77</f>
        <v>0</v>
      </c>
      <c r="Q24" s="92" t="e">
        <f>#REF!</f>
        <v>#REF!</v>
      </c>
      <c r="R24" s="92" t="e">
        <f>#REF!</f>
        <v>#REF!</v>
      </c>
      <c r="S24" s="92" t="e">
        <f>#REF!</f>
        <v>#REF!</v>
      </c>
      <c r="T24" s="90" t="e">
        <f>SUM(P24:S24)</f>
        <v>#REF!</v>
      </c>
      <c r="U24" s="87"/>
    </row>
    <row r="25" spans="2:21" ht="15" customHeight="1" outlineLevel="1" thickBot="1">
      <c r="C25" s="5" t="s">
        <v>11</v>
      </c>
      <c r="D25" s="5"/>
      <c r="E25" s="5"/>
      <c r="F25" s="5"/>
      <c r="G25" s="5"/>
      <c r="H25" s="5"/>
      <c r="I25" s="1"/>
      <c r="M25" s="87"/>
      <c r="N25" s="84"/>
      <c r="O25" s="91">
        <v>2025</v>
      </c>
      <c r="P25" s="92">
        <f t="shared" si="0"/>
        <v>0</v>
      </c>
      <c r="Q25" s="92" t="e">
        <f>#REF!</f>
        <v>#REF!</v>
      </c>
      <c r="R25" s="92" t="e">
        <f>#REF!</f>
        <v>#REF!</v>
      </c>
      <c r="S25" s="92" t="e">
        <f>#REF!</f>
        <v>#REF!</v>
      </c>
      <c r="T25" s="90" t="e">
        <f t="shared" ref="T25:T40" si="1">SUM(P25:S25)</f>
        <v>#REF!</v>
      </c>
      <c r="U25" s="87"/>
    </row>
    <row r="26" spans="2:21" ht="20.100000000000001" customHeight="1" outlineLevel="1" thickBot="1">
      <c r="C26" s="5"/>
      <c r="D26" s="5" t="s">
        <v>12</v>
      </c>
      <c r="E26" s="5"/>
      <c r="F26" s="116">
        <f>F63*I93/10000</f>
        <v>13.003200000000001</v>
      </c>
      <c r="G26" s="117"/>
      <c r="H26" s="29" t="s">
        <v>13</v>
      </c>
      <c r="I26" s="1"/>
      <c r="M26" s="87"/>
      <c r="N26" s="84"/>
      <c r="O26" s="91">
        <v>2026</v>
      </c>
      <c r="P26" s="92">
        <f t="shared" si="0"/>
        <v>0</v>
      </c>
      <c r="Q26" s="92" t="e">
        <f>#REF!</f>
        <v>#REF!</v>
      </c>
      <c r="R26" s="92" t="e">
        <f>#REF!</f>
        <v>#REF!</v>
      </c>
      <c r="S26" s="92" t="e">
        <f>#REF!</f>
        <v>#REF!</v>
      </c>
      <c r="T26" s="90" t="e">
        <f t="shared" si="1"/>
        <v>#REF!</v>
      </c>
      <c r="U26" s="87"/>
    </row>
    <row r="27" spans="2:21" ht="15" customHeight="1" outlineLevel="1">
      <c r="C27" s="5"/>
      <c r="D27" s="5"/>
      <c r="E27" s="5" t="s">
        <v>20</v>
      </c>
      <c r="F27" s="30"/>
      <c r="G27" s="30"/>
      <c r="H27" s="5"/>
      <c r="I27" s="1"/>
      <c r="M27" s="87"/>
      <c r="N27" s="84"/>
      <c r="O27" s="91">
        <v>2027</v>
      </c>
      <c r="P27" s="92">
        <f t="shared" si="0"/>
        <v>0</v>
      </c>
      <c r="Q27" s="92" t="e">
        <f>#REF!</f>
        <v>#REF!</v>
      </c>
      <c r="R27" s="92" t="e">
        <f>#REF!</f>
        <v>#REF!</v>
      </c>
      <c r="S27" s="92" t="e">
        <f>#REF!</f>
        <v>#REF!</v>
      </c>
      <c r="T27" s="90" t="e">
        <f t="shared" si="1"/>
        <v>#REF!</v>
      </c>
      <c r="U27" s="87"/>
    </row>
    <row r="28" spans="2:21" ht="15" customHeight="1" outlineLevel="1">
      <c r="C28" s="5"/>
      <c r="D28" s="5"/>
      <c r="E28" s="31"/>
      <c r="F28" s="5" t="s">
        <v>12</v>
      </c>
      <c r="G28" s="32">
        <f>SUM(G51,G53)*I93/10000</f>
        <v>20.433599999999998</v>
      </c>
      <c r="H28" s="29" t="s">
        <v>13</v>
      </c>
      <c r="I28" s="1"/>
      <c r="M28" s="87"/>
      <c r="N28" s="84"/>
      <c r="O28" s="91">
        <v>2028</v>
      </c>
      <c r="P28" s="92">
        <f t="shared" si="0"/>
        <v>0</v>
      </c>
      <c r="Q28" s="92" t="e">
        <f>#REF!</f>
        <v>#REF!</v>
      </c>
      <c r="R28" s="92" t="e">
        <f>#REF!</f>
        <v>#REF!</v>
      </c>
      <c r="S28" s="92" t="e">
        <f>#REF!</f>
        <v>#REF!</v>
      </c>
      <c r="T28" s="90" t="e">
        <f t="shared" si="1"/>
        <v>#REF!</v>
      </c>
      <c r="U28" s="87"/>
    </row>
    <row r="29" spans="2:21" ht="15" customHeight="1" outlineLevel="1">
      <c r="C29" s="5"/>
      <c r="D29" s="5"/>
      <c r="E29" s="5" t="s">
        <v>21</v>
      </c>
      <c r="F29" s="5"/>
      <c r="G29" s="30"/>
      <c r="H29" s="5"/>
      <c r="I29" s="1"/>
      <c r="M29" s="87"/>
      <c r="N29" s="84"/>
      <c r="O29" s="91">
        <v>2029</v>
      </c>
      <c r="P29" s="92">
        <f t="shared" si="0"/>
        <v>1.0836000000000001</v>
      </c>
      <c r="Q29" s="92" t="e">
        <f>#REF!</f>
        <v>#REF!</v>
      </c>
      <c r="R29" s="92" t="e">
        <f>#REF!</f>
        <v>#REF!</v>
      </c>
      <c r="S29" s="92" t="e">
        <f>#REF!</f>
        <v>#REF!</v>
      </c>
      <c r="T29" s="90" t="e">
        <f t="shared" si="1"/>
        <v>#REF!</v>
      </c>
      <c r="U29" s="87"/>
    </row>
    <row r="30" spans="2:21" ht="15" customHeight="1" outlineLevel="1">
      <c r="C30" s="5"/>
      <c r="D30" s="31"/>
      <c r="E30" s="5"/>
      <c r="F30" s="5" t="s">
        <v>12</v>
      </c>
      <c r="G30" s="32">
        <f>SUM(G59,G61)*I93/10000</f>
        <v>7.4303999999999997</v>
      </c>
      <c r="H30" s="29" t="s">
        <v>13</v>
      </c>
      <c r="I30" s="1"/>
      <c r="M30" s="87"/>
      <c r="N30" s="84"/>
      <c r="O30" s="91">
        <v>2030</v>
      </c>
      <c r="P30" s="92">
        <f t="shared" si="0"/>
        <v>2.1672000000000002</v>
      </c>
      <c r="Q30" s="92" t="e">
        <f>#REF!</f>
        <v>#REF!</v>
      </c>
      <c r="R30" s="92" t="e">
        <f>#REF!</f>
        <v>#REF!</v>
      </c>
      <c r="S30" s="92" t="e">
        <f>#REF!</f>
        <v>#REF!</v>
      </c>
      <c r="T30" s="90" t="e">
        <f t="shared" si="1"/>
        <v>#REF!</v>
      </c>
      <c r="U30" s="87"/>
    </row>
    <row r="31" spans="2:21" ht="15" customHeight="1" outlineLevel="1" thickBot="1">
      <c r="C31" s="31"/>
      <c r="D31" s="5"/>
      <c r="E31" s="5"/>
      <c r="F31" s="30"/>
      <c r="G31" s="30"/>
      <c r="H31" s="5"/>
      <c r="I31" s="1"/>
      <c r="M31" s="87"/>
      <c r="N31" s="84"/>
      <c r="O31" s="91">
        <v>2031</v>
      </c>
      <c r="P31" s="92">
        <f t="shared" si="0"/>
        <v>3.2508000000000004</v>
      </c>
      <c r="Q31" s="92" t="e">
        <f>#REF!</f>
        <v>#REF!</v>
      </c>
      <c r="R31" s="92" t="e">
        <f>#REF!</f>
        <v>#REF!</v>
      </c>
      <c r="S31" s="92" t="e">
        <f>#REF!</f>
        <v>#REF!</v>
      </c>
      <c r="T31" s="90" t="e">
        <f t="shared" si="1"/>
        <v>#REF!</v>
      </c>
      <c r="U31" s="87"/>
    </row>
    <row r="32" spans="2:21" ht="15" customHeight="1" outlineLevel="1" thickBot="1">
      <c r="C32" s="33" t="s">
        <v>22</v>
      </c>
      <c r="D32" s="31"/>
      <c r="E32" s="5"/>
      <c r="F32" s="5"/>
      <c r="G32" s="33" t="s">
        <v>23</v>
      </c>
      <c r="H32" s="34">
        <v>2031</v>
      </c>
      <c r="I32" s="4" t="s">
        <v>24</v>
      </c>
      <c r="M32" s="87"/>
      <c r="N32" s="84"/>
      <c r="O32" s="91">
        <v>2032</v>
      </c>
      <c r="P32" s="92">
        <f t="shared" si="0"/>
        <v>4.3344000000000005</v>
      </c>
      <c r="Q32" s="92" t="e">
        <f>#REF!</f>
        <v>#REF!</v>
      </c>
      <c r="R32" s="92" t="e">
        <f>#REF!</f>
        <v>#REF!</v>
      </c>
      <c r="S32" s="92" t="e">
        <f>#REF!</f>
        <v>#REF!</v>
      </c>
      <c r="T32" s="90" t="e">
        <f t="shared" si="1"/>
        <v>#REF!</v>
      </c>
      <c r="U32" s="87"/>
    </row>
    <row r="33" spans="1:21" ht="20.100000000000001" customHeight="1" outlineLevel="1" thickBot="1">
      <c r="C33" s="31"/>
      <c r="D33" s="33" t="s">
        <v>12</v>
      </c>
      <c r="E33" s="5"/>
      <c r="F33" s="116">
        <f>F63*VLOOKUP(H32+3,D77:I93,6,FALSE)/10000</f>
        <v>6.5016000000000007</v>
      </c>
      <c r="G33" s="117"/>
      <c r="H33" s="29" t="s">
        <v>13</v>
      </c>
      <c r="M33" s="87"/>
      <c r="N33" s="84"/>
      <c r="O33" s="91">
        <v>2033</v>
      </c>
      <c r="P33" s="92">
        <f t="shared" si="0"/>
        <v>5.418000000000001</v>
      </c>
      <c r="Q33" s="92" t="e">
        <f>#REF!</f>
        <v>#REF!</v>
      </c>
      <c r="R33" s="92" t="e">
        <f>#REF!</f>
        <v>#REF!</v>
      </c>
      <c r="S33" s="92" t="e">
        <f>#REF!</f>
        <v>#REF!</v>
      </c>
      <c r="T33" s="90" t="e">
        <f t="shared" si="1"/>
        <v>#REF!</v>
      </c>
      <c r="U33" s="87"/>
    </row>
    <row r="34" spans="1:21" ht="20.100000000000001" customHeight="1" outlineLevel="1">
      <c r="C34" s="31"/>
      <c r="D34" s="33"/>
      <c r="E34" s="5"/>
      <c r="F34" s="35"/>
      <c r="G34" s="35"/>
      <c r="H34" s="5"/>
      <c r="M34" s="87"/>
      <c r="N34" s="84"/>
      <c r="O34" s="91">
        <v>2034</v>
      </c>
      <c r="P34" s="92">
        <f t="shared" si="0"/>
        <v>6.5016000000000007</v>
      </c>
      <c r="Q34" s="92" t="e">
        <f>#REF!</f>
        <v>#REF!</v>
      </c>
      <c r="R34" s="92" t="e">
        <f>#REF!</f>
        <v>#REF!</v>
      </c>
      <c r="S34" s="92" t="e">
        <f>#REF!</f>
        <v>#REF!</v>
      </c>
      <c r="T34" s="90" t="e">
        <f t="shared" si="1"/>
        <v>#REF!</v>
      </c>
      <c r="U34" s="87"/>
    </row>
    <row r="35" spans="1:21" ht="20.100000000000001" customHeight="1" outlineLevel="1" thickBot="1">
      <c r="C35" s="5" t="s">
        <v>25</v>
      </c>
      <c r="D35" s="5"/>
      <c r="E35" s="5"/>
      <c r="F35" s="5"/>
      <c r="G35" s="5"/>
      <c r="H35" s="5"/>
      <c r="M35" s="87"/>
      <c r="N35" s="84"/>
      <c r="O35" s="91">
        <v>2035</v>
      </c>
      <c r="P35" s="92">
        <f t="shared" si="0"/>
        <v>7.5852000000000013</v>
      </c>
      <c r="Q35" s="92" t="e">
        <f>#REF!</f>
        <v>#REF!</v>
      </c>
      <c r="R35" s="92" t="e">
        <f>#REF!</f>
        <v>#REF!</v>
      </c>
      <c r="S35" s="92" t="e">
        <f>#REF!</f>
        <v>#REF!</v>
      </c>
      <c r="T35" s="90" t="e">
        <f t="shared" si="1"/>
        <v>#REF!</v>
      </c>
      <c r="U35" s="87"/>
    </row>
    <row r="36" spans="1:21" ht="20.100000000000001" customHeight="1" outlineLevel="1" thickBot="1">
      <c r="C36" s="5"/>
      <c r="D36" s="5" t="s">
        <v>12</v>
      </c>
      <c r="E36" s="5"/>
      <c r="F36" s="118">
        <f>2.167*45000/10000</f>
        <v>9.7514999999999983</v>
      </c>
      <c r="G36" s="119"/>
      <c r="H36" s="5" t="s">
        <v>13</v>
      </c>
      <c r="M36" s="87"/>
      <c r="N36" s="84"/>
      <c r="O36" s="91">
        <v>2036</v>
      </c>
      <c r="P36" s="92">
        <f t="shared" si="0"/>
        <v>8.6688000000000009</v>
      </c>
      <c r="Q36" s="92" t="e">
        <f>#REF!</f>
        <v>#REF!</v>
      </c>
      <c r="R36" s="92" t="e">
        <f>#REF!</f>
        <v>#REF!</v>
      </c>
      <c r="S36" s="92" t="e">
        <f>#REF!</f>
        <v>#REF!</v>
      </c>
      <c r="T36" s="90" t="e">
        <f t="shared" si="1"/>
        <v>#REF!</v>
      </c>
      <c r="U36" s="87"/>
    </row>
    <row r="37" spans="1:21" ht="9.9499999999999993" customHeight="1" outlineLevel="1" thickBot="1">
      <c r="C37" s="5"/>
      <c r="D37" s="5"/>
      <c r="E37" s="5"/>
      <c r="F37" s="5"/>
      <c r="G37" s="5"/>
      <c r="H37" s="5"/>
      <c r="M37" s="87"/>
      <c r="N37" s="84"/>
      <c r="O37" s="91">
        <v>2037</v>
      </c>
      <c r="P37" s="92">
        <f t="shared" si="0"/>
        <v>9.7524000000000015</v>
      </c>
      <c r="Q37" s="92" t="e">
        <f>#REF!</f>
        <v>#REF!</v>
      </c>
      <c r="R37" s="92" t="e">
        <f>#REF!</f>
        <v>#REF!</v>
      </c>
      <c r="S37" s="92" t="e">
        <f>#REF!</f>
        <v>#REF!</v>
      </c>
      <c r="T37" s="90" t="e">
        <f t="shared" si="1"/>
        <v>#REF!</v>
      </c>
      <c r="U37" s="87"/>
    </row>
    <row r="38" spans="1:21" ht="52.5" customHeight="1" outlineLevel="1" thickBot="1">
      <c r="C38" s="31"/>
      <c r="D38" s="33" t="s">
        <v>26</v>
      </c>
      <c r="E38" s="5"/>
      <c r="F38" s="120" t="s">
        <v>71</v>
      </c>
      <c r="G38" s="121"/>
      <c r="H38" s="121"/>
      <c r="I38" s="121"/>
      <c r="J38" s="121"/>
      <c r="K38" s="122"/>
      <c r="M38" s="87"/>
      <c r="N38" s="84"/>
      <c r="O38" s="91">
        <v>2038</v>
      </c>
      <c r="P38" s="92">
        <f t="shared" si="0"/>
        <v>10.836000000000002</v>
      </c>
      <c r="Q38" s="92" t="e">
        <f>#REF!</f>
        <v>#REF!</v>
      </c>
      <c r="R38" s="92" t="e">
        <f>#REF!</f>
        <v>#REF!</v>
      </c>
      <c r="S38" s="92" t="e">
        <f>#REF!</f>
        <v>#REF!</v>
      </c>
      <c r="T38" s="90" t="e">
        <f t="shared" si="1"/>
        <v>#REF!</v>
      </c>
      <c r="U38" s="87"/>
    </row>
    <row r="39" spans="1:21" ht="15" customHeight="1" outlineLevel="1">
      <c r="D39" s="23"/>
      <c r="M39" s="87"/>
      <c r="N39" s="84"/>
      <c r="O39" s="91">
        <v>2039</v>
      </c>
      <c r="P39" s="92">
        <f t="shared" si="0"/>
        <v>11.919600000000001</v>
      </c>
      <c r="Q39" s="92" t="e">
        <f>#REF!</f>
        <v>#REF!</v>
      </c>
      <c r="R39" s="92" t="e">
        <f>#REF!</f>
        <v>#REF!</v>
      </c>
      <c r="S39" s="92" t="e">
        <f>#REF!</f>
        <v>#REF!</v>
      </c>
      <c r="T39" s="90" t="e">
        <f t="shared" si="1"/>
        <v>#REF!</v>
      </c>
      <c r="U39" s="87"/>
    </row>
    <row r="40" spans="1:21" ht="20.100000000000001" customHeight="1" outlineLevel="1">
      <c r="B40" s="28" t="s">
        <v>27</v>
      </c>
      <c r="M40" s="87"/>
      <c r="N40" s="84"/>
      <c r="O40" s="91">
        <v>2040</v>
      </c>
      <c r="P40" s="92">
        <f t="shared" si="0"/>
        <v>13.003200000000001</v>
      </c>
      <c r="Q40" s="92" t="e">
        <f>#REF!</f>
        <v>#REF!</v>
      </c>
      <c r="R40" s="92" t="e">
        <f>#REF!</f>
        <v>#REF!</v>
      </c>
      <c r="S40" s="92" t="e">
        <f>#REF!</f>
        <v>#REF!</v>
      </c>
      <c r="T40" s="90" t="e">
        <f t="shared" si="1"/>
        <v>#REF!</v>
      </c>
      <c r="U40" s="87"/>
    </row>
    <row r="41" spans="1:21" ht="30" customHeight="1" outlineLevel="1" thickBot="1">
      <c r="B41" s="28"/>
      <c r="D41" s="123" t="s">
        <v>28</v>
      </c>
      <c r="E41" s="123"/>
      <c r="F41" s="123"/>
      <c r="G41" s="123"/>
      <c r="H41" s="123"/>
      <c r="I41" s="123"/>
      <c r="J41" s="123"/>
      <c r="K41" s="123"/>
      <c r="M41" s="87"/>
      <c r="N41" s="84"/>
      <c r="O41" s="87"/>
      <c r="P41" s="87"/>
      <c r="Q41" s="87"/>
      <c r="R41" s="87"/>
      <c r="S41" s="87"/>
      <c r="T41" s="87"/>
      <c r="U41" s="87"/>
    </row>
    <row r="42" spans="1:21" ht="399.75" customHeight="1" outlineLevel="1" thickBot="1">
      <c r="D42" s="135" t="s">
        <v>72</v>
      </c>
      <c r="E42" s="136"/>
      <c r="F42" s="136"/>
      <c r="G42" s="136"/>
      <c r="H42" s="136"/>
      <c r="I42" s="136"/>
      <c r="J42" s="136"/>
      <c r="K42" s="137"/>
      <c r="M42" s="87"/>
      <c r="N42" s="84"/>
      <c r="O42" s="87"/>
      <c r="P42" s="87"/>
      <c r="Q42" s="87"/>
      <c r="R42" s="87"/>
      <c r="S42" s="87"/>
      <c r="T42" s="87"/>
      <c r="U42" s="87"/>
    </row>
    <row r="43" spans="1:21" s="5" customFormat="1" ht="15" customHeight="1" outlineLevel="1">
      <c r="A43" s="4"/>
      <c r="M43" s="83"/>
      <c r="N43" s="84"/>
      <c r="O43" s="83" t="s">
        <v>29</v>
      </c>
      <c r="P43" s="83"/>
      <c r="Q43" s="83"/>
      <c r="R43" s="83"/>
      <c r="S43" s="83"/>
      <c r="T43" s="83"/>
      <c r="U43" s="83"/>
    </row>
    <row r="44" spans="1:21" s="5" customFormat="1" ht="15" customHeight="1" outlineLevel="1">
      <c r="A44" s="4"/>
      <c r="E44" s="5" t="s">
        <v>29</v>
      </c>
      <c r="F44" s="5" t="s">
        <v>30</v>
      </c>
      <c r="H44" s="36">
        <f>$Q$44</f>
        <v>8.64</v>
      </c>
      <c r="I44" s="5" t="s">
        <v>31</v>
      </c>
      <c r="M44" s="83"/>
      <c r="N44" s="83"/>
      <c r="O44" s="83" t="s">
        <v>30</v>
      </c>
      <c r="P44" s="83"/>
      <c r="Q44" s="94">
        <v>8.64</v>
      </c>
      <c r="R44" s="83" t="s">
        <v>31</v>
      </c>
      <c r="S44" s="83"/>
      <c r="T44" s="83"/>
      <c r="U44" s="83"/>
    </row>
    <row r="45" spans="1:21" s="5" customFormat="1" ht="15" customHeight="1" outlineLevel="1">
      <c r="A45" s="4"/>
      <c r="F45" s="5" t="s">
        <v>32</v>
      </c>
      <c r="H45" s="36">
        <f>$Q$45</f>
        <v>2.58</v>
      </c>
      <c r="I45" s="5" t="s">
        <v>33</v>
      </c>
      <c r="M45" s="83"/>
      <c r="N45" s="83"/>
      <c r="O45" s="83" t="s">
        <v>32</v>
      </c>
      <c r="P45" s="83"/>
      <c r="Q45" s="95">
        <v>2.58</v>
      </c>
      <c r="R45" s="83" t="s">
        <v>33</v>
      </c>
      <c r="S45" s="83"/>
      <c r="T45" s="83"/>
      <c r="U45" s="83"/>
    </row>
    <row r="46" spans="1:21" s="5" customFormat="1" ht="15" customHeight="1" outlineLevel="1">
      <c r="A46" s="4"/>
      <c r="G46" s="19"/>
      <c r="H46" s="19"/>
      <c r="J46" s="19"/>
      <c r="N46" s="9"/>
    </row>
    <row r="47" spans="1:21" s="5" customFormat="1" ht="15" customHeight="1" outlineLevel="1" thickBot="1">
      <c r="D47" s="5" t="s">
        <v>34</v>
      </c>
      <c r="J47" s="19"/>
      <c r="N47" s="9"/>
    </row>
    <row r="48" spans="1:21" s="5" customFormat="1" ht="45" customHeight="1" outlineLevel="1" thickBot="1">
      <c r="E48" s="37" t="s">
        <v>35</v>
      </c>
      <c r="F48" s="127" t="s">
        <v>67</v>
      </c>
      <c r="G48" s="128"/>
      <c r="H48" s="128"/>
      <c r="I48" s="128"/>
      <c r="J48" s="128"/>
      <c r="K48" s="129"/>
      <c r="N48" s="9"/>
    </row>
    <row r="49" spans="4:16" s="5" customFormat="1" ht="15" customHeight="1" outlineLevel="1" thickBot="1">
      <c r="J49" s="19"/>
      <c r="N49" s="9"/>
    </row>
    <row r="50" spans="4:16" s="5" customFormat="1" ht="15" customHeight="1" outlineLevel="1" thickBot="1">
      <c r="D50" s="38"/>
      <c r="E50" s="5" t="s">
        <v>37</v>
      </c>
      <c r="F50" s="39"/>
      <c r="G50" s="5" t="s">
        <v>38</v>
      </c>
      <c r="J50" s="19"/>
      <c r="N50" s="9"/>
    </row>
    <row r="51" spans="4:16" s="5" customFormat="1" ht="15" customHeight="1" outlineLevel="1" thickBot="1">
      <c r="D51" s="40"/>
      <c r="F51" s="9"/>
      <c r="G51" s="130">
        <f>+F50*H44*H45/100000</f>
        <v>0</v>
      </c>
      <c r="H51" s="131"/>
      <c r="I51" s="5" t="s">
        <v>39</v>
      </c>
      <c r="J51" s="41" t="s">
        <v>40</v>
      </c>
      <c r="K51" s="38"/>
      <c r="L51" s="38"/>
      <c r="N51" s="9"/>
    </row>
    <row r="52" spans="4:16" s="5" customFormat="1" ht="15" customHeight="1" outlineLevel="1" thickBot="1">
      <c r="D52" s="38"/>
      <c r="E52" s="5" t="s">
        <v>41</v>
      </c>
      <c r="F52" s="76">
        <f>132*1000</f>
        <v>132000</v>
      </c>
      <c r="G52" s="5" t="s">
        <v>42</v>
      </c>
      <c r="J52" s="41"/>
      <c r="K52" s="38"/>
      <c r="L52" s="38"/>
      <c r="N52" s="9"/>
    </row>
    <row r="53" spans="4:16" s="5" customFormat="1" ht="15" customHeight="1" outlineLevel="1">
      <c r="D53" s="40"/>
      <c r="G53" s="111">
        <f>+F52*H45/100000</f>
        <v>3.4056000000000002</v>
      </c>
      <c r="H53" s="112"/>
      <c r="I53" s="5" t="s">
        <v>39</v>
      </c>
      <c r="J53" s="41" t="s">
        <v>40</v>
      </c>
      <c r="K53" s="38"/>
      <c r="L53" s="38"/>
      <c r="N53" s="9"/>
    </row>
    <row r="54" spans="4:16" s="5" customFormat="1" ht="15" customHeight="1" outlineLevel="1">
      <c r="J54" s="19"/>
      <c r="N54" s="9"/>
    </row>
    <row r="55" spans="4:16" s="5" customFormat="1" ht="15" customHeight="1" outlineLevel="1" thickBot="1">
      <c r="D55" s="5" t="s">
        <v>43</v>
      </c>
      <c r="J55" s="19"/>
      <c r="N55" s="9"/>
    </row>
    <row r="56" spans="4:16" s="5" customFormat="1" ht="45" customHeight="1" outlineLevel="1" thickBot="1">
      <c r="E56" s="37" t="s">
        <v>44</v>
      </c>
      <c r="F56" s="127" t="s">
        <v>68</v>
      </c>
      <c r="G56" s="128"/>
      <c r="H56" s="128"/>
      <c r="I56" s="128"/>
      <c r="J56" s="128"/>
      <c r="K56" s="129"/>
      <c r="N56" s="9"/>
    </row>
    <row r="57" spans="4:16" s="5" customFormat="1" ht="15" customHeight="1" outlineLevel="1" thickBot="1">
      <c r="J57" s="19"/>
      <c r="N57" s="9"/>
    </row>
    <row r="58" spans="4:16" s="5" customFormat="1" ht="15" customHeight="1" outlineLevel="1" thickBot="1">
      <c r="D58" s="38"/>
      <c r="E58" s="5" t="s">
        <v>37</v>
      </c>
      <c r="F58" s="39"/>
      <c r="G58" s="43" t="s">
        <v>38</v>
      </c>
      <c r="H58" s="43"/>
      <c r="J58" s="19"/>
      <c r="N58" s="9"/>
    </row>
    <row r="59" spans="4:16" s="5" customFormat="1" ht="15" customHeight="1" outlineLevel="1" thickBot="1">
      <c r="D59" s="40"/>
      <c r="F59" s="9"/>
      <c r="G59" s="111">
        <f>+F58*H44*H45/100000</f>
        <v>0</v>
      </c>
      <c r="H59" s="112"/>
      <c r="I59" s="5" t="s">
        <v>39</v>
      </c>
      <c r="J59" s="19" t="s">
        <v>46</v>
      </c>
      <c r="K59" s="40"/>
      <c r="L59" s="40"/>
      <c r="N59" s="9"/>
    </row>
    <row r="60" spans="4:16" s="5" customFormat="1" ht="15" customHeight="1" outlineLevel="1" thickBot="1">
      <c r="D60" s="38"/>
      <c r="E60" s="5" t="s">
        <v>41</v>
      </c>
      <c r="F60" s="77">
        <f>48*1000</f>
        <v>48000</v>
      </c>
      <c r="G60" s="5" t="s">
        <v>42</v>
      </c>
      <c r="J60" s="19"/>
      <c r="N60" s="9"/>
    </row>
    <row r="61" spans="4:16" s="5" customFormat="1" ht="15" customHeight="1" outlineLevel="1">
      <c r="D61" s="40"/>
      <c r="G61" s="111">
        <f>+F60*H45/100000</f>
        <v>1.2383999999999999</v>
      </c>
      <c r="H61" s="112"/>
      <c r="I61" s="5" t="s">
        <v>39</v>
      </c>
      <c r="J61" s="19" t="s">
        <v>46</v>
      </c>
      <c r="K61" s="40"/>
      <c r="L61" s="40"/>
      <c r="N61" s="9"/>
    </row>
    <row r="62" spans="4:16" s="5" customFormat="1" ht="15" customHeight="1" outlineLevel="1" thickBot="1">
      <c r="J62" s="19"/>
      <c r="N62" s="9"/>
    </row>
    <row r="63" spans="4:16" s="5" customFormat="1" ht="15" customHeight="1" outlineLevel="1" thickBot="1">
      <c r="D63" s="5" t="s">
        <v>47</v>
      </c>
      <c r="E63" s="5" t="s">
        <v>48</v>
      </c>
      <c r="F63" s="160">
        <f>SUM(G51,G53)-SUM(G59,G61)</f>
        <v>2.1672000000000002</v>
      </c>
      <c r="G63" s="161"/>
      <c r="H63" s="5" t="s">
        <v>39</v>
      </c>
      <c r="J63" s="19"/>
      <c r="N63" s="9"/>
      <c r="P63" s="45"/>
    </row>
    <row r="64" spans="4:16" ht="6" customHeight="1" outlineLevel="1">
      <c r="F64" s="46"/>
      <c r="G64" s="46"/>
    </row>
    <row r="65" spans="2:11" ht="6" customHeight="1" outlineLevel="1">
      <c r="F65" s="46"/>
      <c r="G65" s="46"/>
    </row>
    <row r="66" spans="2:11" ht="20.100000000000001" customHeight="1" outlineLevel="1">
      <c r="F66" s="46"/>
      <c r="G66" s="46"/>
      <c r="K66" s="7"/>
    </row>
    <row r="67" spans="2:11" ht="20.100000000000001" customHeight="1" outlineLevel="1">
      <c r="B67" s="47" t="s">
        <v>49</v>
      </c>
      <c r="K67" s="7" t="s">
        <v>123</v>
      </c>
    </row>
    <row r="68" spans="2:11" ht="30" customHeight="1" outlineLevel="1" thickBot="1">
      <c r="B68" s="28"/>
      <c r="D68" s="134" t="s">
        <v>28</v>
      </c>
      <c r="E68" s="134"/>
      <c r="F68" s="134"/>
      <c r="G68" s="134"/>
      <c r="H68" s="134"/>
      <c r="I68" s="134"/>
      <c r="J68" s="134"/>
      <c r="K68" s="134"/>
    </row>
    <row r="69" spans="2:11" ht="399.95" customHeight="1" outlineLevel="1" thickBot="1">
      <c r="D69" s="135" t="s">
        <v>70</v>
      </c>
      <c r="E69" s="136"/>
      <c r="F69" s="136"/>
      <c r="G69" s="136"/>
      <c r="H69" s="136"/>
      <c r="I69" s="136"/>
      <c r="J69" s="136"/>
      <c r="K69" s="137"/>
    </row>
    <row r="70" spans="2:11" ht="15" customHeight="1" outlineLevel="1" thickBot="1">
      <c r="D70" s="48"/>
      <c r="E70" s="48"/>
      <c r="F70" s="48"/>
      <c r="G70" s="48"/>
      <c r="H70" s="48"/>
      <c r="I70" s="48"/>
    </row>
    <row r="71" spans="2:11" ht="45" customHeight="1" outlineLevel="1" thickBot="1">
      <c r="D71" s="138" t="s">
        <v>50</v>
      </c>
      <c r="E71" s="139"/>
      <c r="F71" s="140" t="s">
        <v>69</v>
      </c>
      <c r="G71" s="141"/>
      <c r="H71" s="141"/>
      <c r="I71" s="141"/>
      <c r="J71" s="141"/>
      <c r="K71" s="142"/>
    </row>
    <row r="72" spans="2:11" ht="15" customHeight="1" outlineLevel="1">
      <c r="D72" s="48"/>
      <c r="E72" s="48"/>
      <c r="F72" s="48"/>
      <c r="G72" s="48"/>
      <c r="H72" s="48"/>
      <c r="I72" s="48"/>
    </row>
    <row r="73" spans="2:11" ht="20.100000000000001" customHeight="1" outlineLevel="1">
      <c r="D73" s="48"/>
      <c r="E73" s="48"/>
      <c r="F73" s="48"/>
      <c r="G73" s="48"/>
      <c r="H73" s="48"/>
      <c r="I73" s="48"/>
      <c r="J73" s="49" t="s">
        <v>52</v>
      </c>
    </row>
    <row r="74" spans="2:11" ht="20.100000000000001" customHeight="1" outlineLevel="1" thickBot="1">
      <c r="D74" s="4" t="s">
        <v>53</v>
      </c>
      <c r="K74" s="50" t="s">
        <v>2</v>
      </c>
    </row>
    <row r="75" spans="2:11" ht="33" customHeight="1" outlineLevel="1" thickBot="1">
      <c r="D75" s="143" t="s">
        <v>54</v>
      </c>
      <c r="E75" s="51" t="s">
        <v>55</v>
      </c>
      <c r="F75" s="145" t="s">
        <v>56</v>
      </c>
      <c r="G75" s="145"/>
      <c r="H75" s="146" t="s">
        <v>57</v>
      </c>
      <c r="I75" s="148" t="s">
        <v>58</v>
      </c>
      <c r="K75" s="150" t="s">
        <v>59</v>
      </c>
    </row>
    <row r="76" spans="2:11" ht="30" customHeight="1" outlineLevel="1">
      <c r="D76" s="144"/>
      <c r="E76" s="52" t="s">
        <v>60</v>
      </c>
      <c r="F76" s="53" t="s">
        <v>61</v>
      </c>
      <c r="G76" s="54" t="s">
        <v>62</v>
      </c>
      <c r="H76" s="147"/>
      <c r="I76" s="149"/>
      <c r="K76" s="151"/>
    </row>
    <row r="77" spans="2:11" ht="15" customHeight="1" outlineLevel="1">
      <c r="D77" s="55">
        <v>2024</v>
      </c>
      <c r="E77" s="56">
        <v>1000000</v>
      </c>
      <c r="F77" s="57"/>
      <c r="G77" s="58">
        <f>IF(E77="","",F77/E77)</f>
        <v>0</v>
      </c>
      <c r="H77" s="59"/>
      <c r="I77" s="60">
        <f>F77-H77</f>
        <v>0</v>
      </c>
      <c r="K77" s="61">
        <f t="shared" ref="K77:K93" si="2">I77*F$63/10000</f>
        <v>0</v>
      </c>
    </row>
    <row r="78" spans="2:11" ht="15" customHeight="1" outlineLevel="1">
      <c r="D78" s="55">
        <v>2025</v>
      </c>
      <c r="E78" s="56">
        <v>1000000</v>
      </c>
      <c r="F78" s="57"/>
      <c r="G78" s="58">
        <f t="shared" ref="G78:G93" si="3">IF(E78="","",F78/E78)</f>
        <v>0</v>
      </c>
      <c r="H78" s="59"/>
      <c r="I78" s="60">
        <f>I77+F78-H78</f>
        <v>0</v>
      </c>
      <c r="K78" s="61">
        <f t="shared" si="2"/>
        <v>0</v>
      </c>
    </row>
    <row r="79" spans="2:11" ht="15" customHeight="1" outlineLevel="1">
      <c r="D79" s="55">
        <v>2026</v>
      </c>
      <c r="E79" s="56">
        <v>1000000</v>
      </c>
      <c r="F79" s="57"/>
      <c r="G79" s="58">
        <f t="shared" si="3"/>
        <v>0</v>
      </c>
      <c r="H79" s="59"/>
      <c r="I79" s="60">
        <f t="shared" ref="I79:I92" si="4">I78+F79-H79</f>
        <v>0</v>
      </c>
      <c r="K79" s="61">
        <f t="shared" si="2"/>
        <v>0</v>
      </c>
    </row>
    <row r="80" spans="2:11" ht="15" customHeight="1" outlineLevel="1">
      <c r="D80" s="55">
        <v>2027</v>
      </c>
      <c r="E80" s="56">
        <v>1000000</v>
      </c>
      <c r="F80" s="57"/>
      <c r="G80" s="58">
        <f t="shared" si="3"/>
        <v>0</v>
      </c>
      <c r="H80" s="59"/>
      <c r="I80" s="60">
        <f t="shared" si="4"/>
        <v>0</v>
      </c>
      <c r="K80" s="61">
        <f t="shared" si="2"/>
        <v>0</v>
      </c>
    </row>
    <row r="81" spans="4:11" ht="15" customHeight="1" outlineLevel="1">
      <c r="D81" s="55">
        <v>2028</v>
      </c>
      <c r="E81" s="56">
        <v>1000000</v>
      </c>
      <c r="F81" s="57"/>
      <c r="G81" s="58">
        <f t="shared" si="3"/>
        <v>0</v>
      </c>
      <c r="H81" s="59"/>
      <c r="I81" s="60">
        <f t="shared" si="4"/>
        <v>0</v>
      </c>
      <c r="K81" s="61">
        <f t="shared" si="2"/>
        <v>0</v>
      </c>
    </row>
    <row r="82" spans="4:11" ht="15" customHeight="1" outlineLevel="1">
      <c r="D82" s="55">
        <v>2029</v>
      </c>
      <c r="E82" s="56">
        <v>1000000</v>
      </c>
      <c r="F82" s="57">
        <v>5000</v>
      </c>
      <c r="G82" s="58">
        <f t="shared" si="3"/>
        <v>5.0000000000000001E-3</v>
      </c>
      <c r="H82" s="59"/>
      <c r="I82" s="60">
        <f t="shared" si="4"/>
        <v>5000</v>
      </c>
      <c r="K82" s="61">
        <f t="shared" si="2"/>
        <v>1.0836000000000001</v>
      </c>
    </row>
    <row r="83" spans="4:11" ht="15" customHeight="1" outlineLevel="1">
      <c r="D83" s="55">
        <v>2030</v>
      </c>
      <c r="E83" s="56">
        <v>1000000</v>
      </c>
      <c r="F83" s="57">
        <v>10000</v>
      </c>
      <c r="G83" s="58">
        <f t="shared" si="3"/>
        <v>0.01</v>
      </c>
      <c r="H83" s="59">
        <f t="shared" ref="H83:H92" si="5">F82</f>
        <v>5000</v>
      </c>
      <c r="I83" s="60">
        <f t="shared" si="4"/>
        <v>10000</v>
      </c>
      <c r="K83" s="61">
        <f t="shared" si="2"/>
        <v>2.1672000000000002</v>
      </c>
    </row>
    <row r="84" spans="4:11" ht="15" customHeight="1" outlineLevel="1">
      <c r="D84" s="55">
        <v>2031</v>
      </c>
      <c r="E84" s="56">
        <v>1000000</v>
      </c>
      <c r="F84" s="57">
        <v>15000</v>
      </c>
      <c r="G84" s="58">
        <f t="shared" si="3"/>
        <v>1.4999999999999999E-2</v>
      </c>
      <c r="H84" s="59">
        <f t="shared" si="5"/>
        <v>10000</v>
      </c>
      <c r="I84" s="60">
        <f t="shared" si="4"/>
        <v>15000</v>
      </c>
      <c r="K84" s="61">
        <f t="shared" si="2"/>
        <v>3.2508000000000004</v>
      </c>
    </row>
    <row r="85" spans="4:11" ht="15" customHeight="1" outlineLevel="1">
      <c r="D85" s="55">
        <v>2032</v>
      </c>
      <c r="E85" s="56">
        <v>1000000</v>
      </c>
      <c r="F85" s="57">
        <v>20000</v>
      </c>
      <c r="G85" s="58">
        <f t="shared" si="3"/>
        <v>0.02</v>
      </c>
      <c r="H85" s="59">
        <f t="shared" si="5"/>
        <v>15000</v>
      </c>
      <c r="I85" s="60">
        <f t="shared" si="4"/>
        <v>20000</v>
      </c>
      <c r="K85" s="61">
        <f t="shared" si="2"/>
        <v>4.3344000000000005</v>
      </c>
    </row>
    <row r="86" spans="4:11" ht="15" customHeight="1" outlineLevel="1">
      <c r="D86" s="55">
        <v>2033</v>
      </c>
      <c r="E86" s="56">
        <v>1000000</v>
      </c>
      <c r="F86" s="57">
        <v>25000</v>
      </c>
      <c r="G86" s="58">
        <f t="shared" si="3"/>
        <v>2.5000000000000001E-2</v>
      </c>
      <c r="H86" s="59">
        <f t="shared" si="5"/>
        <v>20000</v>
      </c>
      <c r="I86" s="60">
        <f t="shared" si="4"/>
        <v>25000</v>
      </c>
      <c r="K86" s="61">
        <f t="shared" si="2"/>
        <v>5.418000000000001</v>
      </c>
    </row>
    <row r="87" spans="4:11" ht="15" customHeight="1" outlineLevel="1">
      <c r="D87" s="55">
        <v>2034</v>
      </c>
      <c r="E87" s="56">
        <v>1000000</v>
      </c>
      <c r="F87" s="57">
        <v>30000</v>
      </c>
      <c r="G87" s="58">
        <f t="shared" si="3"/>
        <v>0.03</v>
      </c>
      <c r="H87" s="59">
        <f t="shared" si="5"/>
        <v>25000</v>
      </c>
      <c r="I87" s="60">
        <f t="shared" si="4"/>
        <v>30000</v>
      </c>
      <c r="K87" s="61">
        <f t="shared" si="2"/>
        <v>6.5016000000000007</v>
      </c>
    </row>
    <row r="88" spans="4:11" ht="15" customHeight="1" outlineLevel="1">
      <c r="D88" s="55">
        <v>2035</v>
      </c>
      <c r="E88" s="56">
        <v>1000000</v>
      </c>
      <c r="F88" s="57">
        <v>35000</v>
      </c>
      <c r="G88" s="58">
        <f t="shared" si="3"/>
        <v>3.5000000000000003E-2</v>
      </c>
      <c r="H88" s="59">
        <f t="shared" si="5"/>
        <v>30000</v>
      </c>
      <c r="I88" s="60">
        <f t="shared" si="4"/>
        <v>35000</v>
      </c>
      <c r="K88" s="61">
        <f t="shared" si="2"/>
        <v>7.5852000000000013</v>
      </c>
    </row>
    <row r="89" spans="4:11" ht="15" customHeight="1" outlineLevel="1">
      <c r="D89" s="55">
        <v>2036</v>
      </c>
      <c r="E89" s="56">
        <v>1000000</v>
      </c>
      <c r="F89" s="57">
        <v>40000</v>
      </c>
      <c r="G89" s="58">
        <f t="shared" si="3"/>
        <v>0.04</v>
      </c>
      <c r="H89" s="59">
        <f t="shared" si="5"/>
        <v>35000</v>
      </c>
      <c r="I89" s="60">
        <f t="shared" si="4"/>
        <v>40000</v>
      </c>
      <c r="K89" s="61">
        <f t="shared" si="2"/>
        <v>8.6688000000000009</v>
      </c>
    </row>
    <row r="90" spans="4:11" ht="15" customHeight="1" outlineLevel="1">
      <c r="D90" s="55">
        <v>2037</v>
      </c>
      <c r="E90" s="56">
        <v>1000000</v>
      </c>
      <c r="F90" s="57">
        <v>45000</v>
      </c>
      <c r="G90" s="58">
        <f t="shared" si="3"/>
        <v>4.4999999999999998E-2</v>
      </c>
      <c r="H90" s="59">
        <f t="shared" si="5"/>
        <v>40000</v>
      </c>
      <c r="I90" s="60">
        <f t="shared" si="4"/>
        <v>45000</v>
      </c>
      <c r="K90" s="61">
        <f t="shared" si="2"/>
        <v>9.7524000000000015</v>
      </c>
    </row>
    <row r="91" spans="4:11" ht="15" customHeight="1" outlineLevel="1">
      <c r="D91" s="55">
        <v>2038</v>
      </c>
      <c r="E91" s="56">
        <v>1000000</v>
      </c>
      <c r="F91" s="57">
        <v>50000</v>
      </c>
      <c r="G91" s="58">
        <f t="shared" si="3"/>
        <v>0.05</v>
      </c>
      <c r="H91" s="59">
        <f t="shared" si="5"/>
        <v>45000</v>
      </c>
      <c r="I91" s="60">
        <f t="shared" si="4"/>
        <v>50000</v>
      </c>
      <c r="K91" s="61">
        <f t="shared" si="2"/>
        <v>10.836000000000002</v>
      </c>
    </row>
    <row r="92" spans="4:11" ht="15" customHeight="1" outlineLevel="1">
      <c r="D92" s="55">
        <v>2039</v>
      </c>
      <c r="E92" s="56">
        <v>1000000</v>
      </c>
      <c r="F92" s="57">
        <v>55000</v>
      </c>
      <c r="G92" s="58">
        <f t="shared" si="3"/>
        <v>5.5E-2</v>
      </c>
      <c r="H92" s="59">
        <f t="shared" si="5"/>
        <v>50000</v>
      </c>
      <c r="I92" s="60">
        <f t="shared" si="4"/>
        <v>55000</v>
      </c>
      <c r="K92" s="61">
        <f t="shared" si="2"/>
        <v>11.919600000000001</v>
      </c>
    </row>
    <row r="93" spans="4:11" ht="15" customHeight="1" outlineLevel="1" thickBot="1">
      <c r="D93" s="55">
        <v>2040</v>
      </c>
      <c r="E93" s="62">
        <v>1000000</v>
      </c>
      <c r="F93" s="63">
        <v>60000</v>
      </c>
      <c r="G93" s="64">
        <f t="shared" si="3"/>
        <v>0.06</v>
      </c>
      <c r="H93" s="65">
        <f>F92</f>
        <v>55000</v>
      </c>
      <c r="I93" s="66">
        <f>I92+F93-H93</f>
        <v>60000</v>
      </c>
      <c r="K93" s="67">
        <f t="shared" si="2"/>
        <v>13.003200000000001</v>
      </c>
    </row>
    <row r="94" spans="4:11" ht="15" customHeight="1" outlineLevel="1">
      <c r="D94" s="68"/>
      <c r="E94" s="69"/>
      <c r="F94" s="70"/>
      <c r="G94" s="69"/>
      <c r="H94" s="69"/>
      <c r="I94" s="71" t="s">
        <v>63</v>
      </c>
      <c r="K94" s="72" t="s">
        <v>64</v>
      </c>
    </row>
    <row r="95" spans="4:11" ht="15" customHeight="1"/>
    <row r="96" spans="4:11" s="5" customFormat="1" ht="6" customHeight="1" outlineLevel="1"/>
    <row r="97" s="4" customFormat="1" ht="20.100000000000001" customHeight="1" outlineLevel="1"/>
    <row r="98" s="4" customFormat="1" ht="20.100000000000001" customHeight="1" outlineLevel="1"/>
    <row r="99" s="4" customFormat="1" ht="15" customHeight="1" outlineLevel="1"/>
    <row r="100" s="4" customFormat="1" ht="15" customHeight="1" outlineLevel="1"/>
    <row r="101" s="4" customFormat="1" ht="15" customHeight="1" outlineLevel="1"/>
    <row r="102" s="4" customFormat="1" ht="20.100000000000001" customHeight="1" outlineLevel="1"/>
    <row r="103" s="4" customFormat="1" ht="15" customHeight="1" outlineLevel="1"/>
    <row r="104" s="4" customFormat="1" ht="15" customHeight="1" outlineLevel="1"/>
    <row r="105" s="4" customFormat="1" ht="15" customHeight="1" outlineLevel="1"/>
    <row r="106" s="4" customFormat="1" ht="15" customHeight="1" outlineLevel="1"/>
    <row r="107" s="4" customFormat="1" ht="15" customHeight="1" outlineLevel="1"/>
    <row r="108" s="4" customFormat="1" ht="15" customHeight="1" outlineLevel="1"/>
    <row r="109" s="4" customFormat="1" ht="20.100000000000001" customHeight="1" outlineLevel="1"/>
    <row r="110" s="4" customFormat="1" ht="20.100000000000001" customHeight="1" outlineLevel="1"/>
    <row r="111" s="4" customFormat="1" ht="20.100000000000001" customHeight="1" outlineLevel="1"/>
    <row r="112" s="4" customFormat="1" ht="20.100000000000001" customHeight="1" outlineLevel="1"/>
    <row r="113" s="4" customFormat="1" ht="9.9499999999999993" customHeight="1" outlineLevel="1"/>
    <row r="114" s="4" customFormat="1" ht="52.5" customHeight="1" outlineLevel="1"/>
    <row r="115" s="4" customFormat="1" ht="15" customHeight="1" outlineLevel="1"/>
    <row r="116" s="4" customFormat="1" ht="20.100000000000001" customHeight="1" outlineLevel="1"/>
    <row r="117" s="4" customFormat="1" ht="30" customHeight="1" outlineLevel="1"/>
    <row r="118" s="4" customFormat="1" ht="399.95" customHeight="1" outlineLevel="1"/>
    <row r="119" s="5" customFormat="1" ht="15" customHeight="1" outlineLevel="1"/>
    <row r="120" s="5" customFormat="1" ht="15" customHeight="1" outlineLevel="1"/>
    <row r="121" s="5" customFormat="1" ht="15" customHeight="1" outlineLevel="1"/>
    <row r="122" s="5" customFormat="1" ht="15" customHeight="1" outlineLevel="1"/>
    <row r="123" s="5" customFormat="1" ht="15" customHeight="1" outlineLevel="1"/>
    <row r="124" s="5" customFormat="1" ht="45" customHeight="1" outlineLevel="1"/>
    <row r="125" s="5" customFormat="1" ht="15" customHeight="1" outlineLevel="1"/>
    <row r="126" s="5" customFormat="1" ht="15" customHeight="1" outlineLevel="1"/>
    <row r="127" s="5" customFormat="1" ht="15" customHeight="1" outlineLevel="1"/>
    <row r="128" s="5" customFormat="1" ht="15" customHeight="1" outlineLevel="1"/>
    <row r="129" s="5" customFormat="1" ht="15" customHeight="1" outlineLevel="1"/>
    <row r="130" s="5" customFormat="1" ht="15" customHeight="1" outlineLevel="1"/>
    <row r="131" s="5" customFormat="1" ht="15" customHeight="1" outlineLevel="1"/>
    <row r="132" s="5" customFormat="1" ht="45" customHeight="1" outlineLevel="1"/>
    <row r="133" s="5" customFormat="1" ht="15" customHeight="1" outlineLevel="1"/>
    <row r="134" s="5" customFormat="1" ht="15" customHeight="1" outlineLevel="1"/>
    <row r="135" s="5" customFormat="1" ht="15" customHeight="1" outlineLevel="1"/>
    <row r="136" s="5" customFormat="1" ht="15" customHeight="1" outlineLevel="1"/>
    <row r="137" s="5" customFormat="1" ht="15" customHeight="1" outlineLevel="1"/>
    <row r="138" s="5" customFormat="1" ht="15" customHeight="1" outlineLevel="1"/>
    <row r="139" s="5" customFormat="1" ht="15" customHeight="1" outlineLevel="1"/>
    <row r="140" s="4" customFormat="1" ht="6" customHeight="1" outlineLevel="1"/>
    <row r="141" s="4" customFormat="1" ht="6" customHeight="1" outlineLevel="1"/>
    <row r="142" s="4" customFormat="1" ht="20.100000000000001" customHeight="1" outlineLevel="1"/>
    <row r="143" s="4" customFormat="1" ht="20.100000000000001" customHeight="1" outlineLevel="1"/>
    <row r="144" s="4" customFormat="1" ht="30" customHeight="1" outlineLevel="1"/>
    <row r="145" s="4" customFormat="1" ht="399.95" customHeight="1" outlineLevel="1"/>
    <row r="146" s="4" customFormat="1" ht="15" customHeight="1" outlineLevel="1"/>
    <row r="147" s="4" customFormat="1" ht="45" customHeight="1" outlineLevel="1"/>
    <row r="148" s="4" customFormat="1" ht="15" customHeight="1" outlineLevel="1"/>
    <row r="149" s="4" customFormat="1" ht="20.100000000000001" customHeight="1" outlineLevel="1"/>
    <row r="150" s="4" customFormat="1" ht="20.100000000000001" customHeight="1" outlineLevel="1"/>
    <row r="151" s="4" customFormat="1" ht="33" customHeight="1" outlineLevel="1"/>
    <row r="152" s="4" customFormat="1" ht="30" customHeight="1" outlineLevel="1"/>
    <row r="153" s="4" customFormat="1" ht="15" customHeight="1" outlineLevel="1"/>
    <row r="154" s="4" customFormat="1" ht="15" customHeight="1" outlineLevel="1"/>
    <row r="155" s="4" customFormat="1" ht="15" customHeight="1" outlineLevel="1"/>
    <row r="156" s="4" customFormat="1" ht="15" customHeight="1" outlineLevel="1"/>
    <row r="157" s="4" customFormat="1" ht="15" customHeight="1" outlineLevel="1"/>
    <row r="158" s="4" customFormat="1" ht="15" customHeight="1" outlineLevel="1"/>
    <row r="159" s="4" customFormat="1" ht="15" customHeight="1" outlineLevel="1"/>
    <row r="160" s="4" customFormat="1" ht="15" customHeight="1" outlineLevel="1"/>
    <row r="161" spans="10:14" ht="15" customHeight="1" outlineLevel="1">
      <c r="J161" s="4"/>
      <c r="N161" s="4"/>
    </row>
    <row r="162" spans="10:14" ht="15" customHeight="1" outlineLevel="1">
      <c r="J162" s="4"/>
      <c r="N162" s="4"/>
    </row>
    <row r="163" spans="10:14" ht="15" customHeight="1" outlineLevel="1">
      <c r="J163" s="4"/>
      <c r="N163" s="4"/>
    </row>
    <row r="164" spans="10:14" ht="15" customHeight="1" outlineLevel="1">
      <c r="J164" s="4"/>
      <c r="N164" s="4"/>
    </row>
    <row r="165" spans="10:14" ht="15" customHeight="1" outlineLevel="1">
      <c r="J165" s="4"/>
      <c r="N165" s="4"/>
    </row>
    <row r="166" spans="10:14" ht="15" customHeight="1" outlineLevel="1">
      <c r="J166" s="4"/>
      <c r="N166" s="4"/>
    </row>
    <row r="167" spans="10:14" ht="15" customHeight="1" outlineLevel="1">
      <c r="J167" s="4"/>
      <c r="N167" s="4"/>
    </row>
    <row r="168" spans="10:14" ht="15" customHeight="1" outlineLevel="1">
      <c r="J168" s="4"/>
      <c r="N168" s="4"/>
    </row>
    <row r="169" spans="10:14" ht="15" customHeight="1" outlineLevel="1">
      <c r="J169" s="4"/>
      <c r="N169" s="4"/>
    </row>
    <row r="170" spans="10:14" ht="15" customHeight="1" outlineLevel="1">
      <c r="J170" s="4"/>
      <c r="N170" s="4"/>
    </row>
    <row r="171" spans="10:14" ht="15" customHeight="1"/>
    <row r="172" spans="10:14" s="5" customFormat="1" ht="6" customHeight="1" outlineLevel="1"/>
    <row r="173" spans="10:14" ht="20.100000000000001" customHeight="1" outlineLevel="1">
      <c r="J173" s="4"/>
      <c r="N173" s="4"/>
    </row>
    <row r="174" spans="10:14" ht="20.100000000000001" customHeight="1" outlineLevel="1">
      <c r="J174" s="4"/>
      <c r="N174" s="4"/>
    </row>
    <row r="175" spans="10:14" ht="15" customHeight="1" outlineLevel="1">
      <c r="J175" s="4"/>
      <c r="N175" s="4"/>
    </row>
    <row r="176" spans="10:14" ht="15" customHeight="1" outlineLevel="1">
      <c r="J176" s="4"/>
      <c r="N176" s="4"/>
    </row>
    <row r="177" s="4" customFormat="1" ht="15" customHeight="1" outlineLevel="1"/>
    <row r="178" s="4" customFormat="1" ht="20.100000000000001" customHeight="1" outlineLevel="1"/>
    <row r="179" s="4" customFormat="1" ht="15" customHeight="1" outlineLevel="1"/>
    <row r="180" s="4" customFormat="1" ht="15" customHeight="1" outlineLevel="1"/>
    <row r="181" s="4" customFormat="1" ht="15" customHeight="1" outlineLevel="1"/>
    <row r="182" s="4" customFormat="1" ht="15" customHeight="1" outlineLevel="1"/>
    <row r="183" s="4" customFormat="1" ht="15" customHeight="1" outlineLevel="1"/>
    <row r="184" s="4" customFormat="1" ht="15" customHeight="1" outlineLevel="1"/>
    <row r="185" s="4" customFormat="1" ht="20.100000000000001" customHeight="1" outlineLevel="1"/>
    <row r="186" s="4" customFormat="1" ht="12.75" customHeight="1" outlineLevel="1"/>
    <row r="187" s="4" customFormat="1" ht="20.100000000000001" customHeight="1" outlineLevel="1"/>
    <row r="188" s="4" customFormat="1" ht="20.100000000000001" customHeight="1" outlineLevel="1"/>
    <row r="189" s="4" customFormat="1" ht="9.9499999999999993" customHeight="1" outlineLevel="1"/>
    <row r="190" s="4" customFormat="1" ht="52.5" customHeight="1" outlineLevel="1"/>
    <row r="191" s="4" customFormat="1" ht="15" customHeight="1" outlineLevel="1"/>
    <row r="192" s="4" customFormat="1" ht="20.100000000000001" customHeight="1" outlineLevel="1"/>
    <row r="193" s="4" customFormat="1" ht="30" customHeight="1" outlineLevel="1"/>
    <row r="194" s="4" customFormat="1" ht="399.95" customHeight="1" outlineLevel="1"/>
    <row r="195" s="5" customFormat="1" ht="15" customHeight="1" outlineLevel="1"/>
    <row r="196" s="5" customFormat="1" ht="15" customHeight="1" outlineLevel="1"/>
    <row r="197" s="5" customFormat="1" ht="15" customHeight="1" outlineLevel="1"/>
    <row r="198" s="5" customFormat="1" ht="15" customHeight="1" outlineLevel="1"/>
    <row r="199" s="5" customFormat="1" ht="15" customHeight="1" outlineLevel="1"/>
    <row r="200" s="5" customFormat="1" ht="45" customHeight="1" outlineLevel="1"/>
    <row r="201" s="5" customFormat="1" ht="15" customHeight="1" outlineLevel="1"/>
    <row r="202" s="5" customFormat="1" ht="15" customHeight="1" outlineLevel="1"/>
    <row r="203" s="5" customFormat="1" ht="15" customHeight="1" outlineLevel="1"/>
    <row r="204" s="5" customFormat="1" ht="15" customHeight="1" outlineLevel="1"/>
    <row r="205" s="5" customFormat="1" ht="15" customHeight="1" outlineLevel="1"/>
    <row r="206" s="5" customFormat="1" ht="15" customHeight="1" outlineLevel="1"/>
    <row r="207" s="5" customFormat="1" ht="15" customHeight="1" outlineLevel="1"/>
    <row r="208" s="5" customFormat="1" ht="45" customHeight="1" outlineLevel="1"/>
    <row r="209" s="5" customFormat="1" ht="15" customHeight="1" outlineLevel="1"/>
    <row r="210" s="5" customFormat="1" ht="15" customHeight="1" outlineLevel="1"/>
    <row r="211" s="5" customFormat="1" ht="15" customHeight="1" outlineLevel="1"/>
    <row r="212" s="5" customFormat="1" ht="15" customHeight="1" outlineLevel="1"/>
    <row r="213" s="5" customFormat="1" ht="15" customHeight="1" outlineLevel="1"/>
    <row r="214" s="5" customFormat="1" ht="15" customHeight="1" outlineLevel="1"/>
    <row r="215" s="5" customFormat="1" ht="15" customHeight="1" outlineLevel="1"/>
    <row r="216" s="4" customFormat="1" ht="6" customHeight="1" outlineLevel="1"/>
    <row r="217" s="4" customFormat="1" ht="6" customHeight="1" outlineLevel="1"/>
    <row r="218" s="4" customFormat="1" ht="20.100000000000001" customHeight="1" outlineLevel="1"/>
    <row r="219" s="4" customFormat="1" ht="20.100000000000001" customHeight="1" outlineLevel="1"/>
    <row r="220" s="4" customFormat="1" ht="30" customHeight="1" outlineLevel="1"/>
    <row r="221" s="4" customFormat="1" ht="399.95" customHeight="1" outlineLevel="1"/>
    <row r="222" s="4" customFormat="1" ht="15" customHeight="1" outlineLevel="1"/>
    <row r="223" s="4" customFormat="1" ht="45" customHeight="1" outlineLevel="1"/>
    <row r="224" s="4" customFormat="1" ht="15" customHeight="1" outlineLevel="1"/>
    <row r="225" s="4" customFormat="1" ht="20.100000000000001" customHeight="1" outlineLevel="1"/>
    <row r="226" s="4" customFormat="1" ht="20.100000000000001" customHeight="1" outlineLevel="1"/>
    <row r="227" s="4" customFormat="1" ht="33" customHeight="1" outlineLevel="1"/>
    <row r="228" s="4" customFormat="1" ht="30" customHeight="1" outlineLevel="1"/>
    <row r="229" s="4" customFormat="1" ht="15" customHeight="1" outlineLevel="1"/>
    <row r="230" s="4" customFormat="1" ht="15" customHeight="1" outlineLevel="1"/>
    <row r="231" s="4" customFormat="1" ht="15" customHeight="1" outlineLevel="1"/>
    <row r="232" s="4" customFormat="1" ht="15" customHeight="1" outlineLevel="1"/>
    <row r="233" s="4" customFormat="1" ht="15" customHeight="1" outlineLevel="1"/>
    <row r="234" s="4" customFormat="1" ht="15" customHeight="1" outlineLevel="1"/>
    <row r="235" s="4" customFormat="1" ht="15" customHeight="1" outlineLevel="1"/>
    <row r="236" s="4" customFormat="1" ht="15" customHeight="1" outlineLevel="1"/>
    <row r="237" s="4" customFormat="1" ht="15" customHeight="1" outlineLevel="1"/>
    <row r="238" s="4" customFormat="1" ht="15" customHeight="1" outlineLevel="1"/>
    <row r="239" s="4" customFormat="1" ht="15" customHeight="1" outlineLevel="1"/>
    <row r="240" s="4" customFormat="1" ht="15" customHeight="1" outlineLevel="1"/>
    <row r="241" spans="10:14" ht="15" customHeight="1" outlineLevel="1">
      <c r="J241" s="4"/>
      <c r="N241" s="4"/>
    </row>
    <row r="242" spans="10:14" ht="15" customHeight="1" outlineLevel="1">
      <c r="J242" s="4"/>
      <c r="N242" s="4"/>
    </row>
    <row r="243" spans="10:14" ht="15" customHeight="1" outlineLevel="1">
      <c r="J243" s="4"/>
      <c r="N243" s="4"/>
    </row>
    <row r="244" spans="10:14" ht="15" customHeight="1" outlineLevel="1">
      <c r="J244" s="4"/>
      <c r="N244" s="4"/>
    </row>
    <row r="245" spans="10:14" ht="15" customHeight="1" outlineLevel="1">
      <c r="J245" s="4"/>
      <c r="N245" s="4"/>
    </row>
    <row r="246" spans="10:14" ht="15" customHeight="1" outlineLevel="1">
      <c r="J246" s="4"/>
      <c r="N246" s="4"/>
    </row>
    <row r="247" spans="10:14" ht="15" customHeight="1"/>
    <row r="248" spans="10:14" ht="6" customHeight="1" outlineLevel="1">
      <c r="J248" s="4"/>
      <c r="N248" s="4"/>
    </row>
    <row r="249" spans="10:14" ht="20.100000000000001" customHeight="1" outlineLevel="1">
      <c r="J249" s="4"/>
      <c r="N249" s="4"/>
    </row>
    <row r="250" spans="10:14" ht="20.100000000000001" customHeight="1" outlineLevel="1">
      <c r="J250" s="4"/>
      <c r="N250" s="4"/>
    </row>
    <row r="251" spans="10:14" ht="15" customHeight="1" outlineLevel="1">
      <c r="J251" s="4"/>
      <c r="N251" s="4"/>
    </row>
    <row r="252" spans="10:14" ht="15" customHeight="1" outlineLevel="1">
      <c r="J252" s="4"/>
      <c r="N252" s="4"/>
    </row>
    <row r="253" spans="10:14" ht="15" customHeight="1" outlineLevel="1">
      <c r="J253" s="4"/>
      <c r="N253" s="4"/>
    </row>
    <row r="254" spans="10:14" ht="20.100000000000001" customHeight="1" outlineLevel="1">
      <c r="J254" s="4"/>
      <c r="N254" s="4"/>
    </row>
    <row r="255" spans="10:14" ht="15" customHeight="1" outlineLevel="1">
      <c r="J255" s="4"/>
      <c r="N255" s="4"/>
    </row>
    <row r="256" spans="10:14" ht="15" customHeight="1" outlineLevel="1">
      <c r="J256" s="4"/>
      <c r="N256" s="4"/>
    </row>
    <row r="257" s="4" customFormat="1" ht="20.100000000000001" customHeight="1" outlineLevel="1"/>
    <row r="258" s="4" customFormat="1" ht="20.100000000000001" customHeight="1" outlineLevel="1"/>
    <row r="259" s="4" customFormat="1" ht="20.100000000000001" customHeight="1" outlineLevel="1"/>
    <row r="260" s="4" customFormat="1" ht="20.100000000000001" customHeight="1" outlineLevel="1"/>
    <row r="261" s="4" customFormat="1" ht="9.9499999999999993" customHeight="1" outlineLevel="1"/>
    <row r="262" s="4" customFormat="1" ht="52.5" customHeight="1" outlineLevel="1"/>
    <row r="263" s="4" customFormat="1" ht="15" customHeight="1" outlineLevel="1"/>
    <row r="264" s="4" customFormat="1" ht="20.100000000000001" customHeight="1" outlineLevel="1"/>
    <row r="265" s="73" customFormat="1" ht="30" customHeight="1" outlineLevel="1"/>
    <row r="266" s="73" customFormat="1" ht="399.95" customHeight="1" outlineLevel="1"/>
    <row r="267" s="73" customFormat="1" ht="13.5" outlineLevel="1"/>
    <row r="268" s="73" customFormat="1" ht="13.5" outlineLevel="1"/>
    <row r="269" s="73" customFormat="1" ht="13.5" outlineLevel="1"/>
    <row r="270" s="73" customFormat="1" ht="13.5" outlineLevel="1"/>
    <row r="271" s="73" customFormat="1" ht="13.5" outlineLevel="1"/>
    <row r="272" s="73" customFormat="1" ht="90" customHeight="1" outlineLevel="1"/>
    <row r="273" s="73" customFormat="1" ht="13.5" outlineLevel="1"/>
    <row r="274" s="73" customFormat="1" ht="13.5" outlineLevel="1"/>
    <row r="275" s="73" customFormat="1" ht="90" customHeight="1" outlineLevel="1"/>
    <row r="276" s="73" customFormat="1" ht="13.5" outlineLevel="1"/>
    <row r="277" s="73" customFormat="1" ht="13.5" outlineLevel="1"/>
    <row r="278" s="73" customFormat="1" ht="13.5" outlineLevel="1"/>
    <row r="279" s="73" customFormat="1" ht="20.100000000000001" customHeight="1" outlineLevel="1"/>
    <row r="280" s="73" customFormat="1" ht="20.100000000000001" customHeight="1" outlineLevel="1"/>
    <row r="281" s="73" customFormat="1" ht="30" customHeight="1" outlineLevel="1"/>
    <row r="282" s="73" customFormat="1" ht="399.95" customHeight="1" outlineLevel="1"/>
    <row r="283" s="73" customFormat="1" ht="15" customHeight="1" outlineLevel="1"/>
    <row r="284" s="73" customFormat="1" ht="45" customHeight="1" outlineLevel="1"/>
    <row r="285" s="73" customFormat="1" ht="15" customHeight="1" outlineLevel="1"/>
    <row r="286" s="73" customFormat="1" ht="20.100000000000001" customHeight="1" outlineLevel="1"/>
    <row r="287" s="73" customFormat="1" ht="20.100000000000001" customHeight="1" outlineLevel="1"/>
    <row r="288" s="73" customFormat="1" ht="33" customHeight="1" outlineLevel="1"/>
    <row r="289" s="73" customFormat="1" ht="30" customHeight="1" outlineLevel="1"/>
    <row r="290" s="73" customFormat="1" ht="15" customHeight="1" outlineLevel="1"/>
    <row r="291" s="73" customFormat="1" ht="15" customHeight="1" outlineLevel="1"/>
    <row r="292" s="73" customFormat="1" ht="15" customHeight="1" outlineLevel="1"/>
    <row r="293" s="73" customFormat="1" ht="15" customHeight="1" outlineLevel="1"/>
    <row r="294" s="73" customFormat="1" ht="15" customHeight="1" outlineLevel="1"/>
    <row r="295" s="73" customFormat="1" ht="15" customHeight="1" outlineLevel="1"/>
    <row r="296" s="73" customFormat="1" ht="15" customHeight="1" outlineLevel="1"/>
    <row r="297" s="73" customFormat="1" ht="15" customHeight="1" outlineLevel="1"/>
    <row r="298" s="73" customFormat="1" ht="15" customHeight="1" outlineLevel="1"/>
    <row r="299" s="73" customFormat="1" ht="15" customHeight="1" outlineLevel="1"/>
    <row r="300" s="73" customFormat="1" ht="15" customHeight="1" outlineLevel="1"/>
    <row r="301" s="73" customFormat="1" ht="15" customHeight="1" outlineLevel="1"/>
    <row r="302" s="73" customFormat="1" ht="15" customHeight="1" outlineLevel="1"/>
    <row r="303" s="73" customFormat="1" ht="15" customHeight="1" outlineLevel="1"/>
    <row r="304" s="73" customFormat="1" ht="15" customHeight="1" outlineLevel="1"/>
    <row r="305" s="73" customFormat="1" ht="15" customHeight="1" outlineLevel="1"/>
    <row r="306" s="73" customFormat="1" ht="15" customHeight="1" outlineLevel="1"/>
    <row r="307" s="73" customFormat="1" ht="15" customHeight="1" outlineLevel="1"/>
    <row r="308" ht="15" customHeight="1"/>
  </sheetData>
  <mergeCells count="28">
    <mergeCell ref="G61:H61"/>
    <mergeCell ref="F63:G63"/>
    <mergeCell ref="D68:K68"/>
    <mergeCell ref="D69:K69"/>
    <mergeCell ref="D71:E71"/>
    <mergeCell ref="F71:K71"/>
    <mergeCell ref="D75:D76"/>
    <mergeCell ref="F75:G75"/>
    <mergeCell ref="H75:H76"/>
    <mergeCell ref="I75:I76"/>
    <mergeCell ref="K75:K76"/>
    <mergeCell ref="G59:H59"/>
    <mergeCell ref="F23:H23"/>
    <mergeCell ref="F26:G26"/>
    <mergeCell ref="F33:G33"/>
    <mergeCell ref="F36:G36"/>
    <mergeCell ref="F38:K38"/>
    <mergeCell ref="D41:K41"/>
    <mergeCell ref="D42:K42"/>
    <mergeCell ref="F48:K48"/>
    <mergeCell ref="G51:H51"/>
    <mergeCell ref="G53:H53"/>
    <mergeCell ref="F56:K56"/>
    <mergeCell ref="B5:K5"/>
    <mergeCell ref="F11:H11"/>
    <mergeCell ref="F13:H13"/>
    <mergeCell ref="C16:K16"/>
    <mergeCell ref="C17:K18"/>
  </mergeCells>
  <phoneticPr fontId="2"/>
  <dataValidations disablePrompts="1" count="1">
    <dataValidation type="list" allowBlank="1" showInputMessage="1" showErrorMessage="1" sqref="H32" xr:uid="{6FCF4E41-ABFF-4621-AE29-22BD15A39F1D}">
      <formula1>$D$77:$D$93</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2" manualBreakCount="2">
    <brk id="19" max="16383" man="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B070-5995-4F3F-BDC7-B7A05FDA3691}">
  <sheetPr>
    <pageSetUpPr fitToPage="1"/>
  </sheetPr>
  <dimension ref="A1:U308"/>
  <sheetViews>
    <sheetView zoomScaleNormal="100" workbookViewId="0"/>
  </sheetViews>
  <sheetFormatPr defaultRowHeight="18.75" outlineLevelRow="1"/>
  <cols>
    <col min="1" max="1" width="1.625" style="4" customWidth="1"/>
    <col min="2" max="3" width="4.25" style="4" customWidth="1"/>
    <col min="4" max="4" width="9" style="4"/>
    <col min="5" max="9" width="17.625" style="4" customWidth="1"/>
    <col min="10" max="10" width="1.625" style="16" customWidth="1"/>
    <col min="11" max="11" width="22.625" style="4" customWidth="1"/>
    <col min="12" max="12" width="1.625" style="4" customWidth="1"/>
    <col min="13" max="13" width="2.625" style="4" customWidth="1"/>
    <col min="14" max="14" width="8.625" style="9" customWidth="1"/>
    <col min="15" max="17" width="8.625" style="4" customWidth="1"/>
    <col min="18" max="25" width="8.125" style="4" customWidth="1"/>
    <col min="26" max="16384" width="9" style="4"/>
  </cols>
  <sheetData>
    <row r="1" spans="2:14" ht="5.25" customHeight="1" thickBot="1">
      <c r="B1" s="1"/>
      <c r="C1" s="1"/>
      <c r="D1" s="1"/>
      <c r="E1" s="1"/>
      <c r="F1" s="1"/>
      <c r="G1" s="1"/>
      <c r="H1" s="1"/>
      <c r="I1" s="1"/>
      <c r="J1" s="2"/>
      <c r="K1" s="1"/>
      <c r="L1" s="1"/>
      <c r="M1" s="1"/>
      <c r="N1" s="3"/>
    </row>
    <row r="2" spans="2:14" ht="15" customHeight="1" thickBot="1">
      <c r="B2" s="1"/>
      <c r="C2" s="1"/>
      <c r="E2" s="5"/>
      <c r="F2" s="3"/>
      <c r="G2" s="6"/>
      <c r="H2" s="1"/>
      <c r="J2" s="7" t="s">
        <v>0</v>
      </c>
      <c r="K2" s="8"/>
      <c r="L2" s="1"/>
      <c r="M2" s="1"/>
      <c r="N2" s="3"/>
    </row>
    <row r="3" spans="2:14" ht="15" customHeight="1">
      <c r="B3" s="1"/>
      <c r="C3" s="1"/>
      <c r="D3" s="9"/>
      <c r="E3" s="5"/>
      <c r="F3" s="6"/>
      <c r="H3" s="1"/>
      <c r="J3" s="2"/>
      <c r="K3" s="7" t="s">
        <v>123</v>
      </c>
      <c r="L3" s="1"/>
      <c r="M3" s="1"/>
      <c r="N3" s="10"/>
    </row>
    <row r="4" spans="2:14" s="5" customFormat="1" ht="15" customHeight="1">
      <c r="B4" s="11" t="s">
        <v>1</v>
      </c>
      <c r="C4" s="6"/>
      <c r="D4" s="6"/>
      <c r="E4" s="10"/>
      <c r="F4" s="6"/>
      <c r="G4" s="6"/>
      <c r="J4" s="12"/>
      <c r="K4" s="6"/>
      <c r="L4" s="6"/>
      <c r="M4" s="13"/>
      <c r="N4" s="3"/>
    </row>
    <row r="5" spans="2:14" ht="20.100000000000001" customHeight="1">
      <c r="B5" s="97" t="s">
        <v>2</v>
      </c>
      <c r="C5" s="97"/>
      <c r="D5" s="97"/>
      <c r="E5" s="97"/>
      <c r="F5" s="97"/>
      <c r="G5" s="97"/>
      <c r="H5" s="97"/>
      <c r="I5" s="97"/>
      <c r="J5" s="97"/>
      <c r="K5" s="97"/>
      <c r="L5" s="1"/>
      <c r="M5" s="14"/>
      <c r="N5" s="3"/>
    </row>
    <row r="6" spans="2:14" ht="20.100000000000001" customHeight="1" thickBot="1">
      <c r="B6" s="15" t="s">
        <v>3</v>
      </c>
      <c r="H6" s="1"/>
      <c r="I6" s="1"/>
    </row>
    <row r="7" spans="2:14" s="5" customFormat="1" ht="15" customHeight="1" thickBot="1">
      <c r="B7" s="17"/>
      <c r="C7" s="5" t="s">
        <v>4</v>
      </c>
      <c r="E7" s="5" t="s">
        <v>5</v>
      </c>
      <c r="G7" s="18" t="s">
        <v>6</v>
      </c>
      <c r="H7" s="6"/>
      <c r="I7" s="6"/>
      <c r="J7" s="19"/>
      <c r="N7" s="9"/>
    </row>
    <row r="8" spans="2:14" s="5" customFormat="1" ht="15" customHeight="1" thickBot="1">
      <c r="B8" s="17"/>
      <c r="E8" s="5" t="s">
        <v>7</v>
      </c>
      <c r="G8" s="18" t="s">
        <v>81</v>
      </c>
      <c r="H8" s="6"/>
      <c r="I8" s="6"/>
      <c r="J8" s="19"/>
      <c r="N8" s="9"/>
    </row>
    <row r="9" spans="2:14" s="5" customFormat="1" ht="15" customHeight="1" thickBot="1">
      <c r="B9" s="17"/>
      <c r="E9" s="5" t="s">
        <v>9</v>
      </c>
      <c r="G9" s="18" t="s">
        <v>78</v>
      </c>
      <c r="H9" s="6"/>
      <c r="I9" s="6"/>
      <c r="J9" s="19"/>
      <c r="N9" s="9"/>
    </row>
    <row r="10" spans="2:14" s="5" customFormat="1" ht="15" customHeight="1" thickBot="1">
      <c r="C10" s="5" t="s">
        <v>11</v>
      </c>
      <c r="J10" s="19"/>
      <c r="N10" s="9"/>
    </row>
    <row r="11" spans="2:14" ht="30" customHeight="1" thickTop="1" thickBot="1">
      <c r="D11" s="5" t="s">
        <v>12</v>
      </c>
      <c r="E11" s="5"/>
      <c r="F11" s="98" t="e">
        <f>F26+#REF!+#REF!+#REF!</f>
        <v>#REF!</v>
      </c>
      <c r="G11" s="99"/>
      <c r="H11" s="100"/>
      <c r="I11" s="4" t="s">
        <v>13</v>
      </c>
    </row>
    <row r="12" spans="2:14" ht="15" customHeight="1" thickTop="1" thickBot="1">
      <c r="C12" s="5" t="s">
        <v>14</v>
      </c>
      <c r="D12" s="5"/>
      <c r="E12" s="5"/>
      <c r="F12" s="5"/>
      <c r="G12" s="5"/>
      <c r="H12" s="5"/>
    </row>
    <row r="13" spans="2:14" ht="20.100000000000001" customHeight="1" thickTop="1" thickBot="1">
      <c r="D13" s="5" t="s">
        <v>12</v>
      </c>
      <c r="E13" s="5"/>
      <c r="F13" s="101" t="e">
        <f>IF(F36+#REF!+#REF!+#REF!=0,"-",F36+#REF!+#REF!+#REF!)</f>
        <v>#REF!</v>
      </c>
      <c r="G13" s="102"/>
      <c r="H13" s="103"/>
      <c r="I13" s="4" t="s">
        <v>13</v>
      </c>
    </row>
    <row r="14" spans="2:14" ht="15" customHeight="1" thickTop="1">
      <c r="C14" s="20"/>
      <c r="D14" s="5"/>
      <c r="E14" s="5"/>
      <c r="F14" s="21" t="e">
        <f>IF(F11&gt;=100,"エラー：過大の可能性がある値が記載されておりますので今一度ご確認ください。","")</f>
        <v>#REF!</v>
      </c>
      <c r="G14" s="22"/>
    </row>
    <row r="15" spans="2:14" ht="399.95" customHeight="1">
      <c r="D15" s="23"/>
    </row>
    <row r="16" spans="2:14" s="5" customFormat="1" ht="15" customHeight="1" thickBot="1">
      <c r="C16" s="104" t="s">
        <v>15</v>
      </c>
      <c r="D16" s="104"/>
      <c r="E16" s="104"/>
      <c r="F16" s="104"/>
      <c r="G16" s="104"/>
      <c r="H16" s="104"/>
      <c r="I16" s="104"/>
      <c r="J16" s="104"/>
      <c r="K16" s="104"/>
      <c r="M16" s="9"/>
      <c r="N16" s="9"/>
    </row>
    <row r="17" spans="2:21" s="5" customFormat="1" ht="150" customHeight="1">
      <c r="C17" s="162" t="s">
        <v>99</v>
      </c>
      <c r="D17" s="163"/>
      <c r="E17" s="163"/>
      <c r="F17" s="163"/>
      <c r="G17" s="163"/>
      <c r="H17" s="163"/>
      <c r="I17" s="163"/>
      <c r="J17" s="163"/>
      <c r="K17" s="164"/>
      <c r="M17" s="93"/>
      <c r="N17" s="93"/>
      <c r="O17" s="93"/>
      <c r="P17" s="93"/>
      <c r="Q17" s="93"/>
      <c r="R17" s="93"/>
      <c r="S17" s="24"/>
    </row>
    <row r="18" spans="2:21" s="5" customFormat="1" ht="150" customHeight="1" thickBot="1">
      <c r="C18" s="165"/>
      <c r="D18" s="166"/>
      <c r="E18" s="166"/>
      <c r="F18" s="166"/>
      <c r="G18" s="166"/>
      <c r="H18" s="166"/>
      <c r="I18" s="166"/>
      <c r="J18" s="166"/>
      <c r="K18" s="167"/>
      <c r="M18" s="93"/>
      <c r="N18" s="93"/>
      <c r="O18" s="93"/>
      <c r="P18" s="93"/>
      <c r="Q18" s="93"/>
      <c r="R18" s="93"/>
    </row>
    <row r="19" spans="2:21" s="5" customFormat="1" ht="6" customHeight="1">
      <c r="D19" s="25"/>
      <c r="J19" s="19"/>
      <c r="M19" s="83"/>
      <c r="N19" s="84"/>
      <c r="O19" s="83"/>
      <c r="P19" s="83"/>
      <c r="Q19" s="83"/>
      <c r="R19" s="83"/>
      <c r="S19" s="83"/>
      <c r="T19" s="83"/>
      <c r="U19" s="83"/>
    </row>
    <row r="20" spans="2:21" s="5" customFormat="1" ht="6" customHeight="1" outlineLevel="1">
      <c r="D20" s="25"/>
      <c r="J20" s="19"/>
      <c r="M20" s="83"/>
      <c r="N20" s="84"/>
      <c r="O20" s="85"/>
      <c r="P20" s="85"/>
      <c r="Q20" s="85"/>
      <c r="R20" s="85"/>
      <c r="S20" s="85"/>
      <c r="T20" s="85"/>
      <c r="U20" s="86"/>
    </row>
    <row r="21" spans="2:21" ht="20.100000000000001" customHeight="1" outlineLevel="1">
      <c r="B21" s="26" t="s">
        <v>16</v>
      </c>
      <c r="C21" s="20"/>
      <c r="D21" s="27"/>
      <c r="K21" s="7"/>
      <c r="M21" s="87"/>
      <c r="N21" s="84" t="s">
        <v>115</v>
      </c>
      <c r="O21" s="85"/>
      <c r="P21" s="85"/>
      <c r="Q21" s="85"/>
      <c r="R21" s="85"/>
      <c r="S21" s="85"/>
      <c r="T21" s="85"/>
      <c r="U21" s="83"/>
    </row>
    <row r="22" spans="2:21" ht="20.100000000000001" customHeight="1" outlineLevel="1" thickBot="1">
      <c r="B22" s="28" t="s">
        <v>17</v>
      </c>
      <c r="H22" s="1"/>
      <c r="K22" s="7" t="s">
        <v>123</v>
      </c>
      <c r="M22" s="87"/>
      <c r="N22" s="84"/>
      <c r="O22" s="84"/>
      <c r="P22" s="87" t="s">
        <v>116</v>
      </c>
      <c r="Q22" s="87" t="s">
        <v>117</v>
      </c>
      <c r="R22" s="87" t="s">
        <v>118</v>
      </c>
      <c r="S22" s="87" t="s">
        <v>119</v>
      </c>
      <c r="T22" s="87"/>
      <c r="U22" s="87"/>
    </row>
    <row r="23" spans="2:21" ht="15" customHeight="1" outlineLevel="1" thickBot="1">
      <c r="B23" s="28"/>
      <c r="C23" s="5" t="s">
        <v>18</v>
      </c>
      <c r="D23" s="5"/>
      <c r="E23" s="5"/>
      <c r="F23" s="113" t="s">
        <v>77</v>
      </c>
      <c r="G23" s="114"/>
      <c r="H23" s="115"/>
      <c r="I23" s="1"/>
      <c r="M23" s="87"/>
      <c r="N23" s="84"/>
      <c r="O23" s="88"/>
      <c r="P23" s="89" t="str">
        <f>IF(F23="","",F23)</f>
        <v>500MW級耐熱型高効率発電機</v>
      </c>
      <c r="Q23" s="89" t="e">
        <f>IF(#REF!="","",#REF!)</f>
        <v>#REF!</v>
      </c>
      <c r="R23" s="89" t="e">
        <f>IF(#REF!="","",#REF!)</f>
        <v>#REF!</v>
      </c>
      <c r="S23" s="89" t="e">
        <f>IF(#REF!="","",#REF!)</f>
        <v>#REF!</v>
      </c>
      <c r="T23" s="90" t="s">
        <v>120</v>
      </c>
      <c r="U23" s="87"/>
    </row>
    <row r="24" spans="2:21" ht="15" customHeight="1" outlineLevel="1">
      <c r="B24" s="28"/>
      <c r="C24" s="5"/>
      <c r="D24" s="5"/>
      <c r="E24" s="6"/>
      <c r="F24" s="6"/>
      <c r="G24" s="6"/>
      <c r="H24" s="6"/>
      <c r="I24" s="1"/>
      <c r="M24" s="87"/>
      <c r="N24" s="84"/>
      <c r="O24" s="91">
        <v>2024</v>
      </c>
      <c r="P24" s="92">
        <f t="shared" ref="P24:P40" si="0">K77</f>
        <v>0</v>
      </c>
      <c r="Q24" s="92" t="e">
        <f>#REF!</f>
        <v>#REF!</v>
      </c>
      <c r="R24" s="92" t="e">
        <f>#REF!</f>
        <v>#REF!</v>
      </c>
      <c r="S24" s="92" t="e">
        <f>#REF!</f>
        <v>#REF!</v>
      </c>
      <c r="T24" s="90" t="e">
        <f>SUM(P24:S24)</f>
        <v>#REF!</v>
      </c>
      <c r="U24" s="87"/>
    </row>
    <row r="25" spans="2:21" ht="15" customHeight="1" outlineLevel="1" thickBot="1">
      <c r="C25" s="5" t="s">
        <v>11</v>
      </c>
      <c r="D25" s="5"/>
      <c r="E25" s="5"/>
      <c r="F25" s="5"/>
      <c r="G25" s="5"/>
      <c r="H25" s="5"/>
      <c r="I25" s="1"/>
      <c r="M25" s="87"/>
      <c r="N25" s="84"/>
      <c r="O25" s="91">
        <v>2025</v>
      </c>
      <c r="P25" s="92">
        <f t="shared" si="0"/>
        <v>0</v>
      </c>
      <c r="Q25" s="92" t="e">
        <f>#REF!</f>
        <v>#REF!</v>
      </c>
      <c r="R25" s="92" t="e">
        <f>#REF!</f>
        <v>#REF!</v>
      </c>
      <c r="S25" s="92" t="e">
        <f>#REF!</f>
        <v>#REF!</v>
      </c>
      <c r="T25" s="90" t="e">
        <f t="shared" ref="T25:T40" si="1">SUM(P25:S25)</f>
        <v>#REF!</v>
      </c>
      <c r="U25" s="87"/>
    </row>
    <row r="26" spans="2:21" ht="20.100000000000001" customHeight="1" outlineLevel="1" thickBot="1">
      <c r="C26" s="5"/>
      <c r="D26" s="5" t="s">
        <v>12</v>
      </c>
      <c r="E26" s="5"/>
      <c r="F26" s="116">
        <f>F63*I93/10000</f>
        <v>8.0515350000000332</v>
      </c>
      <c r="G26" s="117"/>
      <c r="H26" s="29" t="s">
        <v>13</v>
      </c>
      <c r="I26" s="1"/>
      <c r="M26" s="87"/>
      <c r="N26" s="84"/>
      <c r="O26" s="91">
        <v>2026</v>
      </c>
      <c r="P26" s="92">
        <f t="shared" si="0"/>
        <v>0</v>
      </c>
      <c r="Q26" s="92" t="e">
        <f>#REF!</f>
        <v>#REF!</v>
      </c>
      <c r="R26" s="92" t="e">
        <f>#REF!</f>
        <v>#REF!</v>
      </c>
      <c r="S26" s="92" t="e">
        <f>#REF!</f>
        <v>#REF!</v>
      </c>
      <c r="T26" s="90" t="e">
        <f t="shared" si="1"/>
        <v>#REF!</v>
      </c>
      <c r="U26" s="87"/>
    </row>
    <row r="27" spans="2:21" ht="15" customHeight="1" outlineLevel="1">
      <c r="C27" s="5"/>
      <c r="D27" s="5"/>
      <c r="E27" s="5" t="s">
        <v>20</v>
      </c>
      <c r="F27" s="30"/>
      <c r="G27" s="30"/>
      <c r="H27" s="5"/>
      <c r="I27" s="1"/>
      <c r="M27" s="87"/>
      <c r="N27" s="84"/>
      <c r="O27" s="91">
        <v>2027</v>
      </c>
      <c r="P27" s="92">
        <f t="shared" si="0"/>
        <v>0</v>
      </c>
      <c r="Q27" s="92" t="e">
        <f>#REF!</f>
        <v>#REF!</v>
      </c>
      <c r="R27" s="92" t="e">
        <f>#REF!</f>
        <v>#REF!</v>
      </c>
      <c r="S27" s="92" t="e">
        <f>#REF!</f>
        <v>#REF!</v>
      </c>
      <c r="T27" s="90" t="e">
        <f t="shared" si="1"/>
        <v>#REF!</v>
      </c>
      <c r="U27" s="87"/>
    </row>
    <row r="28" spans="2:21" ht="15" customHeight="1" outlineLevel="1">
      <c r="C28" s="5"/>
      <c r="D28" s="5"/>
      <c r="E28" s="31"/>
      <c r="F28" s="5" t="s">
        <v>12</v>
      </c>
      <c r="G28" s="32">
        <f>SUM(G51,G53)*I93/10000</f>
        <v>322.06139999999999</v>
      </c>
      <c r="H28" s="29" t="s">
        <v>13</v>
      </c>
      <c r="I28" s="1"/>
      <c r="M28" s="87"/>
      <c r="N28" s="84"/>
      <c r="O28" s="91">
        <v>2028</v>
      </c>
      <c r="P28" s="92">
        <f t="shared" si="0"/>
        <v>1.6103070000000066</v>
      </c>
      <c r="Q28" s="92" t="e">
        <f>#REF!</f>
        <v>#REF!</v>
      </c>
      <c r="R28" s="92" t="e">
        <f>#REF!</f>
        <v>#REF!</v>
      </c>
      <c r="S28" s="92" t="e">
        <f>#REF!</f>
        <v>#REF!</v>
      </c>
      <c r="T28" s="90" t="e">
        <f t="shared" si="1"/>
        <v>#REF!</v>
      </c>
      <c r="U28" s="87"/>
    </row>
    <row r="29" spans="2:21" ht="15" customHeight="1" outlineLevel="1">
      <c r="C29" s="5"/>
      <c r="D29" s="5"/>
      <c r="E29" s="5" t="s">
        <v>21</v>
      </c>
      <c r="F29" s="5"/>
      <c r="G29" s="30"/>
      <c r="H29" s="5"/>
      <c r="I29" s="1"/>
      <c r="M29" s="87"/>
      <c r="N29" s="84"/>
      <c r="O29" s="91">
        <v>2029</v>
      </c>
      <c r="P29" s="92">
        <f t="shared" si="0"/>
        <v>1.6103070000000066</v>
      </c>
      <c r="Q29" s="92" t="e">
        <f>#REF!</f>
        <v>#REF!</v>
      </c>
      <c r="R29" s="92" t="e">
        <f>#REF!</f>
        <v>#REF!</v>
      </c>
      <c r="S29" s="92" t="e">
        <f>#REF!</f>
        <v>#REF!</v>
      </c>
      <c r="T29" s="90" t="e">
        <f t="shared" si="1"/>
        <v>#REF!</v>
      </c>
      <c r="U29" s="87"/>
    </row>
    <row r="30" spans="2:21" ht="15" customHeight="1" outlineLevel="1">
      <c r="C30" s="5"/>
      <c r="D30" s="31"/>
      <c r="E30" s="5"/>
      <c r="F30" s="5" t="s">
        <v>12</v>
      </c>
      <c r="G30" s="32">
        <f>SUM(G59,G61)*I93/10000</f>
        <v>314.00986499999999</v>
      </c>
      <c r="H30" s="29" t="s">
        <v>13</v>
      </c>
      <c r="I30" s="1"/>
      <c r="M30" s="87"/>
      <c r="N30" s="84"/>
      <c r="O30" s="91">
        <v>2030</v>
      </c>
      <c r="P30" s="92">
        <f t="shared" si="0"/>
        <v>1.6103070000000066</v>
      </c>
      <c r="Q30" s="92" t="e">
        <f>#REF!</f>
        <v>#REF!</v>
      </c>
      <c r="R30" s="92" t="e">
        <f>#REF!</f>
        <v>#REF!</v>
      </c>
      <c r="S30" s="92" t="e">
        <f>#REF!</f>
        <v>#REF!</v>
      </c>
      <c r="T30" s="90" t="e">
        <f t="shared" si="1"/>
        <v>#REF!</v>
      </c>
      <c r="U30" s="87"/>
    </row>
    <row r="31" spans="2:21" ht="15" customHeight="1" outlineLevel="1" thickBot="1">
      <c r="C31" s="31"/>
      <c r="D31" s="5"/>
      <c r="E31" s="5"/>
      <c r="F31" s="30"/>
      <c r="G31" s="30"/>
      <c r="H31" s="5"/>
      <c r="I31" s="1"/>
      <c r="M31" s="87"/>
      <c r="N31" s="84"/>
      <c r="O31" s="91">
        <v>2031</v>
      </c>
      <c r="P31" s="92">
        <f t="shared" si="0"/>
        <v>3.2206140000000132</v>
      </c>
      <c r="Q31" s="92" t="e">
        <f>#REF!</f>
        <v>#REF!</v>
      </c>
      <c r="R31" s="92" t="e">
        <f>#REF!</f>
        <v>#REF!</v>
      </c>
      <c r="S31" s="92" t="e">
        <f>#REF!</f>
        <v>#REF!</v>
      </c>
      <c r="T31" s="90" t="e">
        <f t="shared" si="1"/>
        <v>#REF!</v>
      </c>
      <c r="U31" s="87"/>
    </row>
    <row r="32" spans="2:21" ht="15" customHeight="1" outlineLevel="1" thickBot="1">
      <c r="C32" s="33" t="s">
        <v>22</v>
      </c>
      <c r="D32" s="31"/>
      <c r="E32" s="5"/>
      <c r="F32" s="5"/>
      <c r="G32" s="33" t="s">
        <v>23</v>
      </c>
      <c r="H32" s="34">
        <v>2028</v>
      </c>
      <c r="I32" s="4" t="s">
        <v>24</v>
      </c>
      <c r="M32" s="87"/>
      <c r="N32" s="84"/>
      <c r="O32" s="91">
        <v>2032</v>
      </c>
      <c r="P32" s="92">
        <f t="shared" si="0"/>
        <v>3.2206140000000132</v>
      </c>
      <c r="Q32" s="92" t="e">
        <f>#REF!</f>
        <v>#REF!</v>
      </c>
      <c r="R32" s="92" t="e">
        <f>#REF!</f>
        <v>#REF!</v>
      </c>
      <c r="S32" s="92" t="e">
        <f>#REF!</f>
        <v>#REF!</v>
      </c>
      <c r="T32" s="90" t="e">
        <f t="shared" si="1"/>
        <v>#REF!</v>
      </c>
      <c r="U32" s="87"/>
    </row>
    <row r="33" spans="1:21" ht="20.100000000000001" customHeight="1" outlineLevel="1" thickBot="1">
      <c r="C33" s="31"/>
      <c r="D33" s="33" t="s">
        <v>12</v>
      </c>
      <c r="E33" s="5"/>
      <c r="F33" s="116">
        <f>F63*VLOOKUP(H32+3,D77:I93,6,FALSE)/10000</f>
        <v>3.2206140000000132</v>
      </c>
      <c r="G33" s="117"/>
      <c r="H33" s="29" t="s">
        <v>13</v>
      </c>
      <c r="M33" s="87"/>
      <c r="N33" s="84"/>
      <c r="O33" s="91">
        <v>2033</v>
      </c>
      <c r="P33" s="92">
        <f t="shared" si="0"/>
        <v>3.2206140000000132</v>
      </c>
      <c r="Q33" s="92" t="e">
        <f>#REF!</f>
        <v>#REF!</v>
      </c>
      <c r="R33" s="92" t="e">
        <f>#REF!</f>
        <v>#REF!</v>
      </c>
      <c r="S33" s="92" t="e">
        <f>#REF!</f>
        <v>#REF!</v>
      </c>
      <c r="T33" s="90" t="e">
        <f t="shared" si="1"/>
        <v>#REF!</v>
      </c>
      <c r="U33" s="87"/>
    </row>
    <row r="34" spans="1:21" ht="20.100000000000001" customHeight="1" outlineLevel="1">
      <c r="C34" s="31"/>
      <c r="D34" s="33"/>
      <c r="E34" s="5"/>
      <c r="F34" s="35"/>
      <c r="G34" s="35"/>
      <c r="H34" s="5"/>
      <c r="M34" s="87"/>
      <c r="N34" s="84"/>
      <c r="O34" s="91">
        <v>2034</v>
      </c>
      <c r="P34" s="92">
        <f t="shared" si="0"/>
        <v>4.8309210000000196</v>
      </c>
      <c r="Q34" s="92" t="e">
        <f>#REF!</f>
        <v>#REF!</v>
      </c>
      <c r="R34" s="92" t="e">
        <f>#REF!</f>
        <v>#REF!</v>
      </c>
      <c r="S34" s="92" t="e">
        <f>#REF!</f>
        <v>#REF!</v>
      </c>
      <c r="T34" s="90" t="e">
        <f t="shared" si="1"/>
        <v>#REF!</v>
      </c>
      <c r="U34" s="87"/>
    </row>
    <row r="35" spans="1:21" ht="20.100000000000001" customHeight="1" outlineLevel="1" thickBot="1">
      <c r="C35" s="5" t="s">
        <v>25</v>
      </c>
      <c r="D35" s="5"/>
      <c r="E35" s="5"/>
      <c r="F35" s="5"/>
      <c r="G35" s="5"/>
      <c r="H35" s="5"/>
      <c r="M35" s="87"/>
      <c r="N35" s="84"/>
      <c r="O35" s="91">
        <v>2035</v>
      </c>
      <c r="P35" s="92">
        <f t="shared" si="0"/>
        <v>4.8309210000000196</v>
      </c>
      <c r="Q35" s="92" t="e">
        <f>#REF!</f>
        <v>#REF!</v>
      </c>
      <c r="R35" s="92" t="e">
        <f>#REF!</f>
        <v>#REF!</v>
      </c>
      <c r="S35" s="92" t="e">
        <f>#REF!</f>
        <v>#REF!</v>
      </c>
      <c r="T35" s="90" t="e">
        <f t="shared" si="1"/>
        <v>#REF!</v>
      </c>
      <c r="U35" s="87"/>
    </row>
    <row r="36" spans="1:21" ht="20.100000000000001" customHeight="1" outlineLevel="1" thickBot="1">
      <c r="C36" s="5"/>
      <c r="D36" s="5" t="s">
        <v>12</v>
      </c>
      <c r="E36" s="5"/>
      <c r="F36" s="118">
        <f>6441.228*4/10000</f>
        <v>2.5764912</v>
      </c>
      <c r="G36" s="119"/>
      <c r="H36" s="5" t="s">
        <v>13</v>
      </c>
      <c r="M36" s="87"/>
      <c r="N36" s="84"/>
      <c r="O36" s="91">
        <v>2036</v>
      </c>
      <c r="P36" s="92">
        <f t="shared" si="0"/>
        <v>4.8309210000000196</v>
      </c>
      <c r="Q36" s="92" t="e">
        <f>#REF!</f>
        <v>#REF!</v>
      </c>
      <c r="R36" s="92" t="e">
        <f>#REF!</f>
        <v>#REF!</v>
      </c>
      <c r="S36" s="92" t="e">
        <f>#REF!</f>
        <v>#REF!</v>
      </c>
      <c r="T36" s="90" t="e">
        <f t="shared" si="1"/>
        <v>#REF!</v>
      </c>
      <c r="U36" s="87"/>
    </row>
    <row r="37" spans="1:21" ht="9.9499999999999993" customHeight="1" outlineLevel="1" thickBot="1">
      <c r="C37" s="5"/>
      <c r="D37" s="5"/>
      <c r="E37" s="5"/>
      <c r="F37" s="5"/>
      <c r="G37" s="5"/>
      <c r="H37" s="5"/>
      <c r="M37" s="87"/>
      <c r="N37" s="84"/>
      <c r="O37" s="91">
        <v>2037</v>
      </c>
      <c r="P37" s="92">
        <f t="shared" si="0"/>
        <v>6.4412280000000264</v>
      </c>
      <c r="Q37" s="92" t="e">
        <f>#REF!</f>
        <v>#REF!</v>
      </c>
      <c r="R37" s="92" t="e">
        <f>#REF!</f>
        <v>#REF!</v>
      </c>
      <c r="S37" s="92" t="e">
        <f>#REF!</f>
        <v>#REF!</v>
      </c>
      <c r="T37" s="90" t="e">
        <f t="shared" si="1"/>
        <v>#REF!</v>
      </c>
      <c r="U37" s="87"/>
    </row>
    <row r="38" spans="1:21" ht="52.5" customHeight="1" outlineLevel="1" thickBot="1">
      <c r="C38" s="31"/>
      <c r="D38" s="33" t="s">
        <v>26</v>
      </c>
      <c r="E38" s="5"/>
      <c r="F38" s="120" t="s">
        <v>73</v>
      </c>
      <c r="G38" s="121"/>
      <c r="H38" s="121"/>
      <c r="I38" s="121"/>
      <c r="J38" s="121"/>
      <c r="K38" s="122"/>
      <c r="M38" s="87"/>
      <c r="N38" s="84"/>
      <c r="O38" s="91">
        <v>2038</v>
      </c>
      <c r="P38" s="92">
        <f t="shared" si="0"/>
        <v>6.4412280000000264</v>
      </c>
      <c r="Q38" s="92" t="e">
        <f>#REF!</f>
        <v>#REF!</v>
      </c>
      <c r="R38" s="92" t="e">
        <f>#REF!</f>
        <v>#REF!</v>
      </c>
      <c r="S38" s="92" t="e">
        <f>#REF!</f>
        <v>#REF!</v>
      </c>
      <c r="T38" s="90" t="e">
        <f t="shared" si="1"/>
        <v>#REF!</v>
      </c>
      <c r="U38" s="87"/>
    </row>
    <row r="39" spans="1:21" ht="15" customHeight="1" outlineLevel="1">
      <c r="D39" s="23"/>
      <c r="M39" s="87"/>
      <c r="N39" s="84"/>
      <c r="O39" s="91">
        <v>2039</v>
      </c>
      <c r="P39" s="92">
        <f t="shared" si="0"/>
        <v>6.4412280000000264</v>
      </c>
      <c r="Q39" s="92" t="e">
        <f>#REF!</f>
        <v>#REF!</v>
      </c>
      <c r="R39" s="92" t="e">
        <f>#REF!</f>
        <v>#REF!</v>
      </c>
      <c r="S39" s="92" t="e">
        <f>#REF!</f>
        <v>#REF!</v>
      </c>
      <c r="T39" s="90" t="e">
        <f t="shared" si="1"/>
        <v>#REF!</v>
      </c>
      <c r="U39" s="87"/>
    </row>
    <row r="40" spans="1:21" ht="20.100000000000001" customHeight="1" outlineLevel="1">
      <c r="B40" s="28" t="s">
        <v>27</v>
      </c>
      <c r="M40" s="87"/>
      <c r="N40" s="84"/>
      <c r="O40" s="91">
        <v>2040</v>
      </c>
      <c r="P40" s="92">
        <f t="shared" si="0"/>
        <v>8.0515350000000332</v>
      </c>
      <c r="Q40" s="92" t="e">
        <f>#REF!</f>
        <v>#REF!</v>
      </c>
      <c r="R40" s="92" t="e">
        <f>#REF!</f>
        <v>#REF!</v>
      </c>
      <c r="S40" s="92" t="e">
        <f>#REF!</f>
        <v>#REF!</v>
      </c>
      <c r="T40" s="90" t="e">
        <f t="shared" si="1"/>
        <v>#REF!</v>
      </c>
      <c r="U40" s="87"/>
    </row>
    <row r="41" spans="1:21" ht="30" customHeight="1" outlineLevel="1" thickBot="1">
      <c r="B41" s="28"/>
      <c r="D41" s="123" t="s">
        <v>28</v>
      </c>
      <c r="E41" s="123"/>
      <c r="F41" s="123"/>
      <c r="G41" s="123"/>
      <c r="H41" s="123"/>
      <c r="I41" s="123"/>
      <c r="J41" s="123"/>
      <c r="K41" s="123"/>
      <c r="M41" s="87"/>
      <c r="N41" s="84"/>
      <c r="O41" s="87"/>
      <c r="P41" s="87"/>
      <c r="Q41" s="87"/>
      <c r="R41" s="87"/>
      <c r="S41" s="87"/>
      <c r="T41" s="87"/>
      <c r="U41" s="87"/>
    </row>
    <row r="42" spans="1:21" ht="399.75" customHeight="1" outlineLevel="1" thickBot="1">
      <c r="D42" s="170" t="s">
        <v>100</v>
      </c>
      <c r="E42" s="171"/>
      <c r="F42" s="171"/>
      <c r="G42" s="171"/>
      <c r="H42" s="171"/>
      <c r="I42" s="171"/>
      <c r="J42" s="171"/>
      <c r="K42" s="172"/>
      <c r="M42" s="87"/>
      <c r="N42" s="84"/>
      <c r="O42" s="87"/>
      <c r="P42" s="87"/>
      <c r="Q42" s="87"/>
      <c r="R42" s="87"/>
      <c r="S42" s="87"/>
      <c r="T42" s="87"/>
      <c r="U42" s="87"/>
    </row>
    <row r="43" spans="1:21" s="5" customFormat="1" ht="15" customHeight="1" outlineLevel="1">
      <c r="A43" s="4"/>
      <c r="M43" s="83"/>
      <c r="N43" s="84"/>
      <c r="O43" s="83" t="s">
        <v>29</v>
      </c>
      <c r="P43" s="83"/>
      <c r="Q43" s="83"/>
      <c r="R43" s="83"/>
      <c r="S43" s="83"/>
      <c r="T43" s="83"/>
      <c r="U43" s="83"/>
    </row>
    <row r="44" spans="1:21" s="5" customFormat="1" ht="15" customHeight="1" outlineLevel="1">
      <c r="A44" s="4"/>
      <c r="E44" s="5" t="s">
        <v>29</v>
      </c>
      <c r="F44" s="5" t="s">
        <v>30</v>
      </c>
      <c r="H44" s="36">
        <f>$Q$44</f>
        <v>8.64</v>
      </c>
      <c r="I44" s="5" t="s">
        <v>31</v>
      </c>
      <c r="M44" s="83"/>
      <c r="N44" s="83"/>
      <c r="O44" s="83" t="s">
        <v>30</v>
      </c>
      <c r="P44" s="83"/>
      <c r="Q44" s="94">
        <v>8.64</v>
      </c>
      <c r="R44" s="83" t="s">
        <v>31</v>
      </c>
      <c r="S44" s="83"/>
      <c r="T44" s="83"/>
      <c r="U44" s="83"/>
    </row>
    <row r="45" spans="1:21" s="5" customFormat="1" ht="15" customHeight="1" outlineLevel="1">
      <c r="A45" s="4"/>
      <c r="F45" s="5" t="s">
        <v>32</v>
      </c>
      <c r="H45" s="36">
        <f>$Q$45</f>
        <v>2.58</v>
      </c>
      <c r="I45" s="5" t="s">
        <v>33</v>
      </c>
      <c r="M45" s="83"/>
      <c r="N45" s="83"/>
      <c r="O45" s="83" t="s">
        <v>32</v>
      </c>
      <c r="P45" s="83"/>
      <c r="Q45" s="95">
        <v>2.58</v>
      </c>
      <c r="R45" s="83" t="s">
        <v>33</v>
      </c>
      <c r="S45" s="83"/>
      <c r="T45" s="83"/>
      <c r="U45" s="83"/>
    </row>
    <row r="46" spans="1:21" s="5" customFormat="1" ht="15" customHeight="1" outlineLevel="1">
      <c r="A46" s="4"/>
      <c r="G46" s="19"/>
      <c r="H46" s="19"/>
      <c r="J46" s="19"/>
      <c r="N46" s="9"/>
    </row>
    <row r="47" spans="1:21" s="5" customFormat="1" ht="15" customHeight="1" outlineLevel="1" thickBot="1">
      <c r="D47" s="5" t="s">
        <v>34</v>
      </c>
      <c r="J47" s="19"/>
      <c r="N47" s="9"/>
    </row>
    <row r="48" spans="1:21" s="5" customFormat="1" ht="45" customHeight="1" outlineLevel="1" thickBot="1">
      <c r="E48" s="37" t="s">
        <v>35</v>
      </c>
      <c r="F48" s="127" t="s">
        <v>75</v>
      </c>
      <c r="G48" s="128"/>
      <c r="H48" s="128"/>
      <c r="I48" s="128"/>
      <c r="J48" s="128"/>
      <c r="K48" s="129"/>
      <c r="N48" s="9"/>
    </row>
    <row r="49" spans="4:16" s="5" customFormat="1" ht="15" customHeight="1" outlineLevel="1" thickBot="1">
      <c r="J49" s="19"/>
      <c r="N49" s="9"/>
    </row>
    <row r="50" spans="4:16" s="5" customFormat="1" ht="15" customHeight="1" outlineLevel="1" thickBot="1">
      <c r="D50" s="38"/>
      <c r="E50" s="5" t="s">
        <v>37</v>
      </c>
      <c r="F50" s="78"/>
      <c r="G50" s="5" t="s">
        <v>38</v>
      </c>
      <c r="J50" s="19"/>
      <c r="N50" s="9"/>
    </row>
    <row r="51" spans="4:16" s="5" customFormat="1" ht="15" customHeight="1" outlineLevel="1" thickBot="1">
      <c r="D51" s="40"/>
      <c r="F51" s="9"/>
      <c r="G51" s="168">
        <f>+F50*H44*H45/100000</f>
        <v>0</v>
      </c>
      <c r="H51" s="169"/>
      <c r="I51" s="5" t="s">
        <v>39</v>
      </c>
      <c r="J51" s="41" t="s">
        <v>40</v>
      </c>
      <c r="K51" s="38"/>
      <c r="L51" s="38"/>
      <c r="N51" s="9"/>
    </row>
    <row r="52" spans="4:16" s="5" customFormat="1" ht="15" customHeight="1" outlineLevel="1" thickBot="1">
      <c r="D52" s="38"/>
      <c r="E52" s="5" t="s">
        <v>41</v>
      </c>
      <c r="F52" s="78">
        <f>500*1000000*24*365*0.95*0.75/1000/0.45*3600/1000</f>
        <v>24966000000</v>
      </c>
      <c r="G52" s="5" t="s">
        <v>42</v>
      </c>
      <c r="J52" s="41"/>
      <c r="K52" s="38"/>
      <c r="L52" s="38"/>
      <c r="N52" s="9"/>
    </row>
    <row r="53" spans="4:16" s="5" customFormat="1" ht="15" customHeight="1" outlineLevel="1">
      <c r="D53" s="40"/>
      <c r="G53" s="168">
        <f>+F52*H45/100000</f>
        <v>644122.80000000005</v>
      </c>
      <c r="H53" s="169"/>
      <c r="I53" s="5" t="s">
        <v>39</v>
      </c>
      <c r="J53" s="41" t="s">
        <v>40</v>
      </c>
      <c r="K53" s="38"/>
      <c r="L53" s="38"/>
      <c r="N53" s="9"/>
    </row>
    <row r="54" spans="4:16" s="5" customFormat="1" ht="15" customHeight="1" outlineLevel="1">
      <c r="J54" s="19"/>
      <c r="N54" s="9"/>
    </row>
    <row r="55" spans="4:16" s="5" customFormat="1" ht="15" customHeight="1" outlineLevel="1" thickBot="1">
      <c r="D55" s="5" t="s">
        <v>43</v>
      </c>
      <c r="J55" s="19"/>
      <c r="N55" s="9"/>
    </row>
    <row r="56" spans="4:16" s="5" customFormat="1" ht="45" customHeight="1" outlineLevel="1" thickBot="1">
      <c r="E56" s="37" t="s">
        <v>44</v>
      </c>
      <c r="F56" s="127" t="s">
        <v>76</v>
      </c>
      <c r="G56" s="128"/>
      <c r="H56" s="128"/>
      <c r="I56" s="128"/>
      <c r="J56" s="128"/>
      <c r="K56" s="129"/>
      <c r="N56" s="9"/>
    </row>
    <row r="57" spans="4:16" s="5" customFormat="1" ht="15" customHeight="1" outlineLevel="1" thickBot="1">
      <c r="J57" s="19"/>
      <c r="N57" s="9"/>
    </row>
    <row r="58" spans="4:16" s="5" customFormat="1" ht="15" customHeight="1" outlineLevel="1" thickBot="1">
      <c r="D58" s="38"/>
      <c r="E58" s="5" t="s">
        <v>37</v>
      </c>
      <c r="F58" s="78"/>
      <c r="G58" s="43" t="s">
        <v>38</v>
      </c>
      <c r="H58" s="43"/>
      <c r="J58" s="19"/>
      <c r="N58" s="9"/>
    </row>
    <row r="59" spans="4:16" s="5" customFormat="1" ht="15" customHeight="1" outlineLevel="1" thickBot="1">
      <c r="D59" s="40"/>
      <c r="F59" s="9"/>
      <c r="G59" s="168">
        <f>+F58*H44*H45/100000</f>
        <v>0</v>
      </c>
      <c r="H59" s="169"/>
      <c r="I59" s="5" t="s">
        <v>39</v>
      </c>
      <c r="J59" s="19" t="s">
        <v>46</v>
      </c>
      <c r="K59" s="40"/>
      <c r="L59" s="40"/>
      <c r="N59" s="9"/>
    </row>
    <row r="60" spans="4:16" s="5" customFormat="1" ht="15" customHeight="1" outlineLevel="1" thickBot="1">
      <c r="D60" s="38"/>
      <c r="E60" s="5" t="s">
        <v>41</v>
      </c>
      <c r="F60" s="78">
        <f>500*1000000*24*365*0.95*0.75/1000/0.45*0.975*3600/1000</f>
        <v>24341850000</v>
      </c>
      <c r="G60" s="5" t="s">
        <v>42</v>
      </c>
      <c r="J60" s="19"/>
      <c r="N60" s="9"/>
    </row>
    <row r="61" spans="4:16" s="5" customFormat="1" ht="15" customHeight="1" outlineLevel="1">
      <c r="D61" s="40"/>
      <c r="G61" s="168">
        <f>+F60*H45/100000</f>
        <v>628019.73</v>
      </c>
      <c r="H61" s="169"/>
      <c r="I61" s="5" t="s">
        <v>39</v>
      </c>
      <c r="J61" s="19" t="s">
        <v>46</v>
      </c>
      <c r="K61" s="40"/>
      <c r="L61" s="40"/>
      <c r="N61" s="9"/>
    </row>
    <row r="62" spans="4:16" s="5" customFormat="1" ht="15" customHeight="1" outlineLevel="1" thickBot="1">
      <c r="J62" s="19"/>
      <c r="N62" s="9"/>
    </row>
    <row r="63" spans="4:16" s="5" customFormat="1" ht="15" customHeight="1" outlineLevel="1" thickBot="1">
      <c r="D63" s="5" t="s">
        <v>47</v>
      </c>
      <c r="E63" s="5" t="s">
        <v>48</v>
      </c>
      <c r="F63" s="173">
        <f>SUM(G51,G53)-SUM(G59,G61)</f>
        <v>16103.070000000065</v>
      </c>
      <c r="G63" s="174"/>
      <c r="H63" s="5" t="s">
        <v>39</v>
      </c>
      <c r="J63" s="19"/>
      <c r="N63" s="9"/>
      <c r="P63" s="45"/>
    </row>
    <row r="64" spans="4:16" ht="6" customHeight="1" outlineLevel="1">
      <c r="F64" s="46"/>
      <c r="G64" s="46"/>
    </row>
    <row r="65" spans="2:11" ht="6" customHeight="1" outlineLevel="1">
      <c r="F65" s="46"/>
      <c r="G65" s="46"/>
    </row>
    <row r="66" spans="2:11" ht="20.100000000000001" customHeight="1" outlineLevel="1">
      <c r="F66" s="46"/>
      <c r="G66" s="46"/>
      <c r="K66" s="7"/>
    </row>
    <row r="67" spans="2:11" ht="20.100000000000001" customHeight="1" outlineLevel="1">
      <c r="B67" s="47" t="s">
        <v>49</v>
      </c>
      <c r="K67" s="7" t="s">
        <v>123</v>
      </c>
    </row>
    <row r="68" spans="2:11" ht="30" customHeight="1" outlineLevel="1" thickBot="1">
      <c r="B68" s="28"/>
      <c r="D68" s="134" t="s">
        <v>28</v>
      </c>
      <c r="E68" s="134"/>
      <c r="F68" s="134"/>
      <c r="G68" s="134"/>
      <c r="H68" s="134"/>
      <c r="I68" s="134"/>
      <c r="J68" s="134"/>
      <c r="K68" s="134"/>
    </row>
    <row r="69" spans="2:11" ht="399.95" customHeight="1" outlineLevel="1" thickBot="1">
      <c r="D69" s="170" t="s">
        <v>101</v>
      </c>
      <c r="E69" s="171"/>
      <c r="F69" s="171"/>
      <c r="G69" s="171"/>
      <c r="H69" s="171"/>
      <c r="I69" s="171"/>
      <c r="J69" s="171"/>
      <c r="K69" s="172"/>
    </row>
    <row r="70" spans="2:11" ht="15" customHeight="1" outlineLevel="1" thickBot="1">
      <c r="D70" s="48"/>
      <c r="E70" s="48"/>
      <c r="F70" s="48"/>
      <c r="G70" s="48"/>
      <c r="H70" s="48"/>
      <c r="I70" s="48"/>
    </row>
    <row r="71" spans="2:11" ht="45" customHeight="1" outlineLevel="1" thickBot="1">
      <c r="D71" s="138" t="s">
        <v>50</v>
      </c>
      <c r="E71" s="139"/>
      <c r="F71" s="140" t="s">
        <v>74</v>
      </c>
      <c r="G71" s="141"/>
      <c r="H71" s="141"/>
      <c r="I71" s="141"/>
      <c r="J71" s="141"/>
      <c r="K71" s="142"/>
    </row>
    <row r="72" spans="2:11" ht="15" customHeight="1" outlineLevel="1">
      <c r="D72" s="48"/>
      <c r="E72" s="48"/>
      <c r="F72" s="48"/>
      <c r="G72" s="48"/>
      <c r="H72" s="48"/>
      <c r="I72" s="48"/>
    </row>
    <row r="73" spans="2:11" ht="20.100000000000001" customHeight="1" outlineLevel="1">
      <c r="D73" s="48"/>
      <c r="E73" s="48"/>
      <c r="F73" s="48"/>
      <c r="G73" s="48"/>
      <c r="H73" s="48"/>
      <c r="I73" s="48"/>
      <c r="J73" s="49" t="s">
        <v>52</v>
      </c>
    </row>
    <row r="74" spans="2:11" ht="20.100000000000001" customHeight="1" outlineLevel="1" thickBot="1">
      <c r="D74" s="4" t="s">
        <v>53</v>
      </c>
      <c r="K74" s="50" t="s">
        <v>2</v>
      </c>
    </row>
    <row r="75" spans="2:11" ht="33" customHeight="1" outlineLevel="1" thickBot="1">
      <c r="D75" s="143" t="s">
        <v>54</v>
      </c>
      <c r="E75" s="51" t="s">
        <v>55</v>
      </c>
      <c r="F75" s="145" t="s">
        <v>56</v>
      </c>
      <c r="G75" s="145"/>
      <c r="H75" s="146" t="s">
        <v>57</v>
      </c>
      <c r="I75" s="148" t="s">
        <v>58</v>
      </c>
      <c r="K75" s="150" t="s">
        <v>59</v>
      </c>
    </row>
    <row r="76" spans="2:11" ht="30" customHeight="1" outlineLevel="1">
      <c r="D76" s="144"/>
      <c r="E76" s="52" t="s">
        <v>60</v>
      </c>
      <c r="F76" s="53" t="s">
        <v>61</v>
      </c>
      <c r="G76" s="54" t="s">
        <v>62</v>
      </c>
      <c r="H76" s="147"/>
      <c r="I76" s="149"/>
      <c r="K76" s="151"/>
    </row>
    <row r="77" spans="2:11" ht="15" customHeight="1" outlineLevel="1">
      <c r="D77" s="55">
        <v>2024</v>
      </c>
      <c r="E77" s="56">
        <v>125</v>
      </c>
      <c r="F77" s="57"/>
      <c r="G77" s="58">
        <f>IF(E77="","",F77/E77)</f>
        <v>0</v>
      </c>
      <c r="H77" s="59"/>
      <c r="I77" s="60">
        <f>F77-H77</f>
        <v>0</v>
      </c>
      <c r="K77" s="61">
        <f t="shared" ref="K77:K93" si="2">I77*F$63/10000</f>
        <v>0</v>
      </c>
    </row>
    <row r="78" spans="2:11" ht="15" customHeight="1" outlineLevel="1">
      <c r="D78" s="55">
        <v>2025</v>
      </c>
      <c r="E78" s="56">
        <f>E77*1.005</f>
        <v>125.62499999999999</v>
      </c>
      <c r="F78" s="57"/>
      <c r="G78" s="58">
        <f t="shared" ref="G78:G93" si="3">IF(E78="","",F78/E78)</f>
        <v>0</v>
      </c>
      <c r="H78" s="59"/>
      <c r="I78" s="60">
        <f>I77+F78-H78</f>
        <v>0</v>
      </c>
      <c r="K78" s="61">
        <f t="shared" si="2"/>
        <v>0</v>
      </c>
    </row>
    <row r="79" spans="2:11" ht="15" customHeight="1" outlineLevel="1">
      <c r="D79" s="55">
        <v>2026</v>
      </c>
      <c r="E79" s="56">
        <f t="shared" ref="E79:E93" si="4">E78*1.005</f>
        <v>126.25312499999997</v>
      </c>
      <c r="F79" s="57"/>
      <c r="G79" s="58">
        <f t="shared" si="3"/>
        <v>0</v>
      </c>
      <c r="H79" s="59"/>
      <c r="I79" s="60">
        <f t="shared" ref="I79:I92" si="5">I78+F79-H79</f>
        <v>0</v>
      </c>
      <c r="K79" s="61">
        <f t="shared" si="2"/>
        <v>0</v>
      </c>
    </row>
    <row r="80" spans="2:11" ht="15" customHeight="1" outlineLevel="1">
      <c r="D80" s="55">
        <v>2027</v>
      </c>
      <c r="E80" s="56">
        <f t="shared" si="4"/>
        <v>126.88439062499995</v>
      </c>
      <c r="F80" s="57"/>
      <c r="G80" s="58">
        <f t="shared" si="3"/>
        <v>0</v>
      </c>
      <c r="H80" s="59"/>
      <c r="I80" s="60">
        <f t="shared" si="5"/>
        <v>0</v>
      </c>
      <c r="K80" s="61">
        <f t="shared" si="2"/>
        <v>0</v>
      </c>
    </row>
    <row r="81" spans="4:11" ht="15" customHeight="1" outlineLevel="1">
      <c r="D81" s="55">
        <v>2028</v>
      </c>
      <c r="E81" s="56">
        <f t="shared" si="4"/>
        <v>127.51881257812494</v>
      </c>
      <c r="F81" s="57">
        <v>1</v>
      </c>
      <c r="G81" s="58">
        <f t="shared" si="3"/>
        <v>7.84198017361043E-3</v>
      </c>
      <c r="H81" s="59"/>
      <c r="I81" s="60">
        <f t="shared" si="5"/>
        <v>1</v>
      </c>
      <c r="K81" s="61">
        <f t="shared" si="2"/>
        <v>1.6103070000000066</v>
      </c>
    </row>
    <row r="82" spans="4:11" ht="15" customHeight="1" outlineLevel="1">
      <c r="D82" s="55">
        <v>2029</v>
      </c>
      <c r="E82" s="56">
        <f t="shared" si="4"/>
        <v>128.15640664101554</v>
      </c>
      <c r="F82" s="57"/>
      <c r="G82" s="58">
        <f t="shared" si="3"/>
        <v>0</v>
      </c>
      <c r="H82" s="59"/>
      <c r="I82" s="60">
        <f t="shared" si="5"/>
        <v>1</v>
      </c>
      <c r="K82" s="61">
        <f t="shared" si="2"/>
        <v>1.6103070000000066</v>
      </c>
    </row>
    <row r="83" spans="4:11" ht="15" customHeight="1" outlineLevel="1">
      <c r="D83" s="55">
        <v>2030</v>
      </c>
      <c r="E83" s="56">
        <f t="shared" si="4"/>
        <v>128.79718867422059</v>
      </c>
      <c r="F83" s="57"/>
      <c r="G83" s="58">
        <f t="shared" si="3"/>
        <v>0</v>
      </c>
      <c r="H83" s="59"/>
      <c r="I83" s="60">
        <f t="shared" si="5"/>
        <v>1</v>
      </c>
      <c r="K83" s="61">
        <f t="shared" si="2"/>
        <v>1.6103070000000066</v>
      </c>
    </row>
    <row r="84" spans="4:11" ht="15" customHeight="1" outlineLevel="1">
      <c r="D84" s="55">
        <v>2031</v>
      </c>
      <c r="E84" s="56">
        <f t="shared" si="4"/>
        <v>129.44117461759168</v>
      </c>
      <c r="F84" s="57">
        <v>1</v>
      </c>
      <c r="G84" s="58">
        <f t="shared" si="3"/>
        <v>7.7255170385644445E-3</v>
      </c>
      <c r="H84" s="59"/>
      <c r="I84" s="60">
        <f t="shared" si="5"/>
        <v>2</v>
      </c>
      <c r="K84" s="61">
        <f t="shared" si="2"/>
        <v>3.2206140000000132</v>
      </c>
    </row>
    <row r="85" spans="4:11" ht="15" customHeight="1" outlineLevel="1">
      <c r="D85" s="55">
        <v>2032</v>
      </c>
      <c r="E85" s="56">
        <f t="shared" si="4"/>
        <v>130.08838049067964</v>
      </c>
      <c r="F85" s="57"/>
      <c r="G85" s="58">
        <f t="shared" si="3"/>
        <v>0</v>
      </c>
      <c r="H85" s="59"/>
      <c r="I85" s="60">
        <f t="shared" si="5"/>
        <v>2</v>
      </c>
      <c r="K85" s="61">
        <f t="shared" si="2"/>
        <v>3.2206140000000132</v>
      </c>
    </row>
    <row r="86" spans="4:11" ht="15" customHeight="1" outlineLevel="1">
      <c r="D86" s="55">
        <v>2033</v>
      </c>
      <c r="E86" s="56">
        <f t="shared" si="4"/>
        <v>130.73882239313303</v>
      </c>
      <c r="F86" s="57"/>
      <c r="G86" s="58">
        <f t="shared" si="3"/>
        <v>0</v>
      </c>
      <c r="H86" s="59"/>
      <c r="I86" s="60">
        <f t="shared" si="5"/>
        <v>2</v>
      </c>
      <c r="K86" s="61">
        <f t="shared" si="2"/>
        <v>3.2206140000000132</v>
      </c>
    </row>
    <row r="87" spans="4:11" ht="15" customHeight="1" outlineLevel="1">
      <c r="D87" s="55">
        <v>2034</v>
      </c>
      <c r="E87" s="56">
        <f t="shared" si="4"/>
        <v>131.39251650509868</v>
      </c>
      <c r="F87" s="57">
        <v>1</v>
      </c>
      <c r="G87" s="58">
        <f t="shared" si="3"/>
        <v>7.6107835255685586E-3</v>
      </c>
      <c r="H87" s="59"/>
      <c r="I87" s="60">
        <f t="shared" si="5"/>
        <v>3</v>
      </c>
      <c r="K87" s="61">
        <f t="shared" si="2"/>
        <v>4.8309210000000196</v>
      </c>
    </row>
    <row r="88" spans="4:11" ht="15" customHeight="1" outlineLevel="1">
      <c r="D88" s="55">
        <v>2035</v>
      </c>
      <c r="E88" s="56">
        <f t="shared" si="4"/>
        <v>132.04947908762415</v>
      </c>
      <c r="F88" s="57"/>
      <c r="G88" s="58">
        <f t="shared" si="3"/>
        <v>0</v>
      </c>
      <c r="H88" s="59"/>
      <c r="I88" s="60">
        <f t="shared" si="5"/>
        <v>3</v>
      </c>
      <c r="K88" s="61">
        <f t="shared" si="2"/>
        <v>4.8309210000000196</v>
      </c>
    </row>
    <row r="89" spans="4:11" ht="15" customHeight="1" outlineLevel="1">
      <c r="D89" s="55">
        <v>2036</v>
      </c>
      <c r="E89" s="56">
        <f t="shared" si="4"/>
        <v>132.70972648306227</v>
      </c>
      <c r="F89" s="57"/>
      <c r="G89" s="58">
        <f t="shared" si="3"/>
        <v>0</v>
      </c>
      <c r="H89" s="59"/>
      <c r="I89" s="60">
        <f t="shared" si="5"/>
        <v>3</v>
      </c>
      <c r="K89" s="61">
        <f t="shared" si="2"/>
        <v>4.8309210000000196</v>
      </c>
    </row>
    <row r="90" spans="4:11" ht="15" customHeight="1" outlineLevel="1">
      <c r="D90" s="55">
        <v>2037</v>
      </c>
      <c r="E90" s="56">
        <f t="shared" si="4"/>
        <v>133.37327511547755</v>
      </c>
      <c r="F90" s="57">
        <v>1</v>
      </c>
      <c r="G90" s="58">
        <f t="shared" si="3"/>
        <v>7.4977539475894082E-3</v>
      </c>
      <c r="H90" s="59"/>
      <c r="I90" s="60">
        <f t="shared" si="5"/>
        <v>4</v>
      </c>
      <c r="K90" s="61">
        <f t="shared" si="2"/>
        <v>6.4412280000000264</v>
      </c>
    </row>
    <row r="91" spans="4:11" ht="15" customHeight="1" outlineLevel="1">
      <c r="D91" s="55">
        <v>2038</v>
      </c>
      <c r="E91" s="56">
        <f t="shared" si="4"/>
        <v>134.04014149105492</v>
      </c>
      <c r="F91" s="57"/>
      <c r="G91" s="58">
        <f t="shared" si="3"/>
        <v>0</v>
      </c>
      <c r="H91" s="59"/>
      <c r="I91" s="60">
        <f t="shared" si="5"/>
        <v>4</v>
      </c>
      <c r="K91" s="61">
        <f t="shared" si="2"/>
        <v>6.4412280000000264</v>
      </c>
    </row>
    <row r="92" spans="4:11" ht="15" customHeight="1" outlineLevel="1">
      <c r="D92" s="55">
        <v>2039</v>
      </c>
      <c r="E92" s="56">
        <f t="shared" si="4"/>
        <v>134.71034219851018</v>
      </c>
      <c r="F92" s="57"/>
      <c r="G92" s="58">
        <f t="shared" si="3"/>
        <v>0</v>
      </c>
      <c r="H92" s="59"/>
      <c r="I92" s="60">
        <f t="shared" si="5"/>
        <v>4</v>
      </c>
      <c r="K92" s="61">
        <f t="shared" si="2"/>
        <v>6.4412280000000264</v>
      </c>
    </row>
    <row r="93" spans="4:11" ht="15" customHeight="1" outlineLevel="1" thickBot="1">
      <c r="D93" s="55">
        <v>2040</v>
      </c>
      <c r="E93" s="62">
        <f t="shared" si="4"/>
        <v>135.38389390950272</v>
      </c>
      <c r="F93" s="63">
        <v>1</v>
      </c>
      <c r="G93" s="64">
        <f t="shared" si="3"/>
        <v>7.3864029990779361E-3</v>
      </c>
      <c r="H93" s="65"/>
      <c r="I93" s="66">
        <f>I92+F93-H93</f>
        <v>5</v>
      </c>
      <c r="K93" s="67">
        <f t="shared" si="2"/>
        <v>8.0515350000000332</v>
      </c>
    </row>
    <row r="94" spans="4:11" ht="15" customHeight="1" outlineLevel="1">
      <c r="D94" s="68"/>
      <c r="E94" s="69"/>
      <c r="F94" s="70"/>
      <c r="G94" s="69"/>
      <c r="H94" s="69"/>
      <c r="I94" s="71" t="s">
        <v>63</v>
      </c>
      <c r="K94" s="72" t="s">
        <v>64</v>
      </c>
    </row>
    <row r="95" spans="4:11" ht="15" customHeight="1"/>
    <row r="96" spans="4:11" s="5" customFormat="1" ht="6" customHeight="1" outlineLevel="1"/>
    <row r="97" s="4" customFormat="1" ht="20.100000000000001" customHeight="1" outlineLevel="1"/>
    <row r="98" s="4" customFormat="1" ht="20.100000000000001" customHeight="1" outlineLevel="1"/>
    <row r="99" s="4" customFormat="1" ht="15" customHeight="1" outlineLevel="1"/>
    <row r="100" s="4" customFormat="1" ht="15" customHeight="1" outlineLevel="1"/>
    <row r="101" s="4" customFormat="1" ht="15" customHeight="1" outlineLevel="1"/>
    <row r="102" s="4" customFormat="1" ht="20.100000000000001" customHeight="1" outlineLevel="1"/>
    <row r="103" s="4" customFormat="1" ht="15" customHeight="1" outlineLevel="1"/>
    <row r="104" s="4" customFormat="1" ht="15" customHeight="1" outlineLevel="1"/>
    <row r="105" s="4" customFormat="1" ht="15" customHeight="1" outlineLevel="1"/>
    <row r="106" s="4" customFormat="1" ht="15" customHeight="1" outlineLevel="1"/>
    <row r="107" s="4" customFormat="1" ht="15" customHeight="1" outlineLevel="1"/>
    <row r="108" s="4" customFormat="1" ht="15" customHeight="1" outlineLevel="1"/>
    <row r="109" s="4" customFormat="1" ht="20.100000000000001" customHeight="1" outlineLevel="1"/>
    <row r="110" s="4" customFormat="1" ht="20.100000000000001" customHeight="1" outlineLevel="1"/>
    <row r="111" s="4" customFormat="1" ht="20.100000000000001" customHeight="1" outlineLevel="1"/>
    <row r="112" s="4" customFormat="1" ht="20.100000000000001" customHeight="1" outlineLevel="1"/>
    <row r="113" s="4" customFormat="1" ht="9.9499999999999993" customHeight="1" outlineLevel="1"/>
    <row r="114" s="4" customFormat="1" ht="52.5" customHeight="1" outlineLevel="1"/>
    <row r="115" s="4" customFormat="1" ht="15" customHeight="1" outlineLevel="1"/>
    <row r="116" s="4" customFormat="1" ht="20.100000000000001" customHeight="1" outlineLevel="1"/>
    <row r="117" s="4" customFormat="1" ht="30" customHeight="1" outlineLevel="1"/>
    <row r="118" s="4" customFormat="1" ht="399.95" customHeight="1" outlineLevel="1"/>
    <row r="119" s="5" customFormat="1" ht="15" customHeight="1" outlineLevel="1"/>
    <row r="120" s="5" customFormat="1" ht="15" customHeight="1" outlineLevel="1"/>
    <row r="121" s="5" customFormat="1" ht="15" customHeight="1" outlineLevel="1"/>
    <row r="122" s="5" customFormat="1" ht="15" customHeight="1" outlineLevel="1"/>
    <row r="123" s="5" customFormat="1" ht="15" customHeight="1" outlineLevel="1"/>
    <row r="124" s="5" customFormat="1" ht="45" customHeight="1" outlineLevel="1"/>
    <row r="125" s="5" customFormat="1" ht="15" customHeight="1" outlineLevel="1"/>
    <row r="126" s="5" customFormat="1" ht="15" customHeight="1" outlineLevel="1"/>
    <row r="127" s="5" customFormat="1" ht="15" customHeight="1" outlineLevel="1"/>
    <row r="128" s="5" customFormat="1" ht="15" customHeight="1" outlineLevel="1"/>
    <row r="129" s="5" customFormat="1" ht="15" customHeight="1" outlineLevel="1"/>
    <row r="130" s="5" customFormat="1" ht="15" customHeight="1" outlineLevel="1"/>
    <row r="131" s="5" customFormat="1" ht="15" customHeight="1" outlineLevel="1"/>
    <row r="132" s="5" customFormat="1" ht="45" customHeight="1" outlineLevel="1"/>
    <row r="133" s="5" customFormat="1" ht="15" customHeight="1" outlineLevel="1"/>
    <row r="134" s="5" customFormat="1" ht="15" customHeight="1" outlineLevel="1"/>
    <row r="135" s="5" customFormat="1" ht="15" customHeight="1" outlineLevel="1"/>
    <row r="136" s="5" customFormat="1" ht="15" customHeight="1" outlineLevel="1"/>
    <row r="137" s="5" customFormat="1" ht="15" customHeight="1" outlineLevel="1"/>
    <row r="138" s="5" customFormat="1" ht="15" customHeight="1" outlineLevel="1"/>
    <row r="139" s="5" customFormat="1" ht="15" customHeight="1" outlineLevel="1"/>
    <row r="140" s="4" customFormat="1" ht="6" customHeight="1" outlineLevel="1"/>
    <row r="141" s="4" customFormat="1" ht="6" customHeight="1" outlineLevel="1"/>
    <row r="142" s="4" customFormat="1" ht="20.100000000000001" customHeight="1" outlineLevel="1"/>
    <row r="143" s="4" customFormat="1" ht="20.100000000000001" customHeight="1" outlineLevel="1"/>
    <row r="144" s="4" customFormat="1" ht="30" customHeight="1" outlineLevel="1"/>
    <row r="145" s="4" customFormat="1" ht="399.95" customHeight="1" outlineLevel="1"/>
    <row r="146" s="4" customFormat="1" ht="15" customHeight="1" outlineLevel="1"/>
    <row r="147" s="4" customFormat="1" ht="45" customHeight="1" outlineLevel="1"/>
    <row r="148" s="4" customFormat="1" ht="15" customHeight="1" outlineLevel="1"/>
    <row r="149" s="4" customFormat="1" ht="20.100000000000001" customHeight="1" outlineLevel="1"/>
    <row r="150" s="4" customFormat="1" ht="20.100000000000001" customHeight="1" outlineLevel="1"/>
    <row r="151" s="4" customFormat="1" ht="33" customHeight="1" outlineLevel="1"/>
    <row r="152" s="4" customFormat="1" ht="30" customHeight="1" outlineLevel="1"/>
    <row r="153" s="4" customFormat="1" ht="15" customHeight="1" outlineLevel="1"/>
    <row r="154" s="4" customFormat="1" ht="15" customHeight="1" outlineLevel="1"/>
    <row r="155" s="4" customFormat="1" ht="15" customHeight="1" outlineLevel="1"/>
    <row r="156" s="4" customFormat="1" ht="15" customHeight="1" outlineLevel="1"/>
    <row r="157" s="4" customFormat="1" ht="15" customHeight="1" outlineLevel="1"/>
    <row r="158" s="4" customFormat="1" ht="15" customHeight="1" outlineLevel="1"/>
    <row r="159" s="4" customFormat="1" ht="15" customHeight="1" outlineLevel="1"/>
    <row r="160" s="4" customFormat="1" ht="15" customHeight="1" outlineLevel="1"/>
    <row r="161" spans="10:14" ht="15" customHeight="1" outlineLevel="1">
      <c r="J161" s="4"/>
      <c r="N161" s="4"/>
    </row>
    <row r="162" spans="10:14" ht="15" customHeight="1" outlineLevel="1">
      <c r="J162" s="4"/>
      <c r="N162" s="4"/>
    </row>
    <row r="163" spans="10:14" ht="15" customHeight="1" outlineLevel="1">
      <c r="J163" s="4"/>
      <c r="N163" s="4"/>
    </row>
    <row r="164" spans="10:14" ht="15" customHeight="1" outlineLevel="1">
      <c r="J164" s="4"/>
      <c r="N164" s="4"/>
    </row>
    <row r="165" spans="10:14" ht="15" customHeight="1" outlineLevel="1">
      <c r="J165" s="4"/>
      <c r="N165" s="4"/>
    </row>
    <row r="166" spans="10:14" ht="15" customHeight="1" outlineLevel="1">
      <c r="J166" s="4"/>
      <c r="N166" s="4"/>
    </row>
    <row r="167" spans="10:14" ht="15" customHeight="1" outlineLevel="1">
      <c r="J167" s="4"/>
      <c r="N167" s="4"/>
    </row>
    <row r="168" spans="10:14" ht="15" customHeight="1" outlineLevel="1">
      <c r="J168" s="4"/>
      <c r="N168" s="4"/>
    </row>
    <row r="169" spans="10:14" ht="15" customHeight="1" outlineLevel="1">
      <c r="J169" s="4"/>
      <c r="N169" s="4"/>
    </row>
    <row r="170" spans="10:14" ht="15" customHeight="1" outlineLevel="1">
      <c r="J170" s="4"/>
      <c r="N170" s="4"/>
    </row>
    <row r="171" spans="10:14" ht="15" customHeight="1"/>
    <row r="172" spans="10:14" s="5" customFormat="1" ht="6" customHeight="1" outlineLevel="1"/>
    <row r="173" spans="10:14" ht="20.100000000000001" customHeight="1" outlineLevel="1">
      <c r="J173" s="4"/>
      <c r="N173" s="4"/>
    </row>
    <row r="174" spans="10:14" ht="20.100000000000001" customHeight="1" outlineLevel="1">
      <c r="J174" s="4"/>
      <c r="N174" s="4"/>
    </row>
    <row r="175" spans="10:14" ht="15" customHeight="1" outlineLevel="1">
      <c r="J175" s="4"/>
      <c r="N175" s="4"/>
    </row>
    <row r="176" spans="10:14" ht="15" customHeight="1" outlineLevel="1">
      <c r="J176" s="4"/>
      <c r="N176" s="4"/>
    </row>
    <row r="177" s="4" customFormat="1" ht="15" customHeight="1" outlineLevel="1"/>
    <row r="178" s="4" customFormat="1" ht="20.100000000000001" customHeight="1" outlineLevel="1"/>
    <row r="179" s="4" customFormat="1" ht="15" customHeight="1" outlineLevel="1"/>
    <row r="180" s="4" customFormat="1" ht="15" customHeight="1" outlineLevel="1"/>
    <row r="181" s="4" customFormat="1" ht="15" customHeight="1" outlineLevel="1"/>
    <row r="182" s="4" customFormat="1" ht="15" customHeight="1" outlineLevel="1"/>
    <row r="183" s="4" customFormat="1" ht="15" customHeight="1" outlineLevel="1"/>
    <row r="184" s="4" customFormat="1" ht="15" customHeight="1" outlineLevel="1"/>
    <row r="185" s="4" customFormat="1" ht="20.100000000000001" customHeight="1" outlineLevel="1"/>
    <row r="186" s="4" customFormat="1" ht="12.75" customHeight="1" outlineLevel="1"/>
    <row r="187" s="4" customFormat="1" ht="20.100000000000001" customHeight="1" outlineLevel="1"/>
    <row r="188" s="4" customFormat="1" ht="20.100000000000001" customHeight="1" outlineLevel="1"/>
    <row r="189" s="4" customFormat="1" ht="9.9499999999999993" customHeight="1" outlineLevel="1"/>
    <row r="190" s="4" customFormat="1" ht="52.5" customHeight="1" outlineLevel="1"/>
    <row r="191" s="4" customFormat="1" ht="15" customHeight="1" outlineLevel="1"/>
    <row r="192" s="4" customFormat="1" ht="20.100000000000001" customHeight="1" outlineLevel="1"/>
    <row r="193" s="4" customFormat="1" ht="30" customHeight="1" outlineLevel="1"/>
    <row r="194" s="4" customFormat="1" ht="399.95" customHeight="1" outlineLevel="1"/>
    <row r="195" s="5" customFormat="1" ht="15" customHeight="1" outlineLevel="1"/>
    <row r="196" s="5" customFormat="1" ht="15" customHeight="1" outlineLevel="1"/>
    <row r="197" s="5" customFormat="1" ht="15" customHeight="1" outlineLevel="1"/>
    <row r="198" s="5" customFormat="1" ht="15" customHeight="1" outlineLevel="1"/>
    <row r="199" s="5" customFormat="1" ht="15" customHeight="1" outlineLevel="1"/>
    <row r="200" s="5" customFormat="1" ht="45" customHeight="1" outlineLevel="1"/>
    <row r="201" s="5" customFormat="1" ht="15" customHeight="1" outlineLevel="1"/>
    <row r="202" s="5" customFormat="1" ht="15" customHeight="1" outlineLevel="1"/>
    <row r="203" s="5" customFormat="1" ht="15" customHeight="1" outlineLevel="1"/>
    <row r="204" s="5" customFormat="1" ht="15" customHeight="1" outlineLevel="1"/>
    <row r="205" s="5" customFormat="1" ht="15" customHeight="1" outlineLevel="1"/>
    <row r="206" s="5" customFormat="1" ht="15" customHeight="1" outlineLevel="1"/>
    <row r="207" s="5" customFormat="1" ht="15" customHeight="1" outlineLevel="1"/>
    <row r="208" s="5" customFormat="1" ht="45" customHeight="1" outlineLevel="1"/>
    <row r="209" s="5" customFormat="1" ht="15" customHeight="1" outlineLevel="1"/>
    <row r="210" s="5" customFormat="1" ht="15" customHeight="1" outlineLevel="1"/>
    <row r="211" s="5" customFormat="1" ht="15" customHeight="1" outlineLevel="1"/>
    <row r="212" s="5" customFormat="1" ht="15" customHeight="1" outlineLevel="1"/>
    <row r="213" s="5" customFormat="1" ht="15" customHeight="1" outlineLevel="1"/>
    <row r="214" s="5" customFormat="1" ht="15" customHeight="1" outlineLevel="1"/>
    <row r="215" s="5" customFormat="1" ht="15" customHeight="1" outlineLevel="1"/>
    <row r="216" s="4" customFormat="1" ht="6" customHeight="1" outlineLevel="1"/>
    <row r="217" s="4" customFormat="1" ht="6" customHeight="1" outlineLevel="1"/>
    <row r="218" s="4" customFormat="1" ht="20.100000000000001" customHeight="1" outlineLevel="1"/>
    <row r="219" s="4" customFormat="1" ht="20.100000000000001" customHeight="1" outlineLevel="1"/>
    <row r="220" s="4" customFormat="1" ht="30" customHeight="1" outlineLevel="1"/>
    <row r="221" s="4" customFormat="1" ht="399.95" customHeight="1" outlineLevel="1"/>
    <row r="222" s="4" customFormat="1" ht="15" customHeight="1" outlineLevel="1"/>
    <row r="223" s="4" customFormat="1" ht="45" customHeight="1" outlineLevel="1"/>
    <row r="224" s="4" customFormat="1" ht="15" customHeight="1" outlineLevel="1"/>
    <row r="225" s="4" customFormat="1" ht="20.100000000000001" customHeight="1" outlineLevel="1"/>
    <row r="226" s="4" customFormat="1" ht="20.100000000000001" customHeight="1" outlineLevel="1"/>
    <row r="227" s="4" customFormat="1" ht="33" customHeight="1" outlineLevel="1"/>
    <row r="228" s="4" customFormat="1" ht="30" customHeight="1" outlineLevel="1"/>
    <row r="229" s="4" customFormat="1" ht="15" customHeight="1" outlineLevel="1"/>
    <row r="230" s="4" customFormat="1" ht="15" customHeight="1" outlineLevel="1"/>
    <row r="231" s="4" customFormat="1" ht="15" customHeight="1" outlineLevel="1"/>
    <row r="232" s="4" customFormat="1" ht="15" customHeight="1" outlineLevel="1"/>
    <row r="233" s="4" customFormat="1" ht="15" customHeight="1" outlineLevel="1"/>
    <row r="234" s="4" customFormat="1" ht="15" customHeight="1" outlineLevel="1"/>
    <row r="235" s="4" customFormat="1" ht="15" customHeight="1" outlineLevel="1"/>
    <row r="236" s="4" customFormat="1" ht="15" customHeight="1" outlineLevel="1"/>
    <row r="237" s="4" customFormat="1" ht="15" customHeight="1" outlineLevel="1"/>
    <row r="238" s="4" customFormat="1" ht="15" customHeight="1" outlineLevel="1"/>
    <row r="239" s="4" customFormat="1" ht="15" customHeight="1" outlineLevel="1"/>
    <row r="240" s="4" customFormat="1" ht="15" customHeight="1" outlineLevel="1"/>
    <row r="241" spans="10:14" ht="15" customHeight="1" outlineLevel="1">
      <c r="J241" s="4"/>
      <c r="N241" s="4"/>
    </row>
    <row r="242" spans="10:14" ht="15" customHeight="1" outlineLevel="1">
      <c r="J242" s="4"/>
      <c r="N242" s="4"/>
    </row>
    <row r="243" spans="10:14" ht="15" customHeight="1" outlineLevel="1">
      <c r="J243" s="4"/>
      <c r="N243" s="4"/>
    </row>
    <row r="244" spans="10:14" ht="15" customHeight="1" outlineLevel="1">
      <c r="J244" s="4"/>
      <c r="N244" s="4"/>
    </row>
    <row r="245" spans="10:14" ht="15" customHeight="1" outlineLevel="1">
      <c r="J245" s="4"/>
      <c r="N245" s="4"/>
    </row>
    <row r="246" spans="10:14" ht="15" customHeight="1" outlineLevel="1">
      <c r="J246" s="4"/>
      <c r="N246" s="4"/>
    </row>
    <row r="247" spans="10:14" ht="15" customHeight="1"/>
    <row r="248" spans="10:14" ht="6" customHeight="1" outlineLevel="1">
      <c r="J248" s="4"/>
      <c r="N248" s="4"/>
    </row>
    <row r="249" spans="10:14" ht="20.100000000000001" customHeight="1" outlineLevel="1">
      <c r="J249" s="4"/>
      <c r="N249" s="4"/>
    </row>
    <row r="250" spans="10:14" ht="20.100000000000001" customHeight="1" outlineLevel="1">
      <c r="J250" s="4"/>
      <c r="N250" s="4"/>
    </row>
    <row r="251" spans="10:14" ht="15" customHeight="1" outlineLevel="1">
      <c r="J251" s="4"/>
      <c r="N251" s="4"/>
    </row>
    <row r="252" spans="10:14" ht="15" customHeight="1" outlineLevel="1">
      <c r="J252" s="4"/>
      <c r="N252" s="4"/>
    </row>
    <row r="253" spans="10:14" ht="15" customHeight="1" outlineLevel="1">
      <c r="J253" s="4"/>
      <c r="N253" s="4"/>
    </row>
    <row r="254" spans="10:14" ht="20.100000000000001" customHeight="1" outlineLevel="1">
      <c r="J254" s="4"/>
      <c r="N254" s="4"/>
    </row>
    <row r="255" spans="10:14" ht="15" customHeight="1" outlineLevel="1">
      <c r="J255" s="4"/>
      <c r="N255" s="4"/>
    </row>
    <row r="256" spans="10:14" ht="15" customHeight="1" outlineLevel="1">
      <c r="J256" s="4"/>
      <c r="N256" s="4"/>
    </row>
    <row r="257" s="4" customFormat="1" ht="20.100000000000001" customHeight="1" outlineLevel="1"/>
    <row r="258" s="4" customFormat="1" ht="20.100000000000001" customHeight="1" outlineLevel="1"/>
    <row r="259" s="4" customFormat="1" ht="20.100000000000001" customHeight="1" outlineLevel="1"/>
    <row r="260" s="4" customFormat="1" ht="20.100000000000001" customHeight="1" outlineLevel="1"/>
    <row r="261" s="4" customFormat="1" ht="9.9499999999999993" customHeight="1" outlineLevel="1"/>
    <row r="262" s="4" customFormat="1" ht="52.5" customHeight="1" outlineLevel="1"/>
    <row r="263" s="4" customFormat="1" ht="15" customHeight="1" outlineLevel="1"/>
    <row r="264" s="4" customFormat="1" ht="20.100000000000001" customHeight="1" outlineLevel="1"/>
    <row r="265" s="73" customFormat="1" ht="30" customHeight="1" outlineLevel="1"/>
    <row r="266" s="73" customFormat="1" ht="399.95" customHeight="1" outlineLevel="1"/>
    <row r="267" s="73" customFormat="1" ht="13.5" outlineLevel="1"/>
    <row r="268" s="73" customFormat="1" ht="13.5" outlineLevel="1"/>
    <row r="269" s="73" customFormat="1" ht="13.5" outlineLevel="1"/>
    <row r="270" s="73" customFormat="1" ht="13.5" outlineLevel="1"/>
    <row r="271" s="73" customFormat="1" ht="13.5" outlineLevel="1"/>
    <row r="272" s="73" customFormat="1" ht="90" customHeight="1" outlineLevel="1"/>
    <row r="273" s="73" customFormat="1" ht="13.5" outlineLevel="1"/>
    <row r="274" s="73" customFormat="1" ht="13.5" outlineLevel="1"/>
    <row r="275" s="73" customFormat="1" ht="90" customHeight="1" outlineLevel="1"/>
    <row r="276" s="73" customFormat="1" ht="13.5" outlineLevel="1"/>
    <row r="277" s="73" customFormat="1" ht="13.5" outlineLevel="1"/>
    <row r="278" s="73" customFormat="1" ht="13.5" outlineLevel="1"/>
    <row r="279" s="73" customFormat="1" ht="20.100000000000001" customHeight="1" outlineLevel="1"/>
    <row r="280" s="73" customFormat="1" ht="20.100000000000001" customHeight="1" outlineLevel="1"/>
    <row r="281" s="73" customFormat="1" ht="30" customHeight="1" outlineLevel="1"/>
    <row r="282" s="73" customFormat="1" ht="399.95" customHeight="1" outlineLevel="1"/>
    <row r="283" s="73" customFormat="1" ht="15" customHeight="1" outlineLevel="1"/>
    <row r="284" s="73" customFormat="1" ht="45" customHeight="1" outlineLevel="1"/>
    <row r="285" s="73" customFormat="1" ht="15" customHeight="1" outlineLevel="1"/>
    <row r="286" s="73" customFormat="1" ht="20.100000000000001" customHeight="1" outlineLevel="1"/>
    <row r="287" s="73" customFormat="1" ht="20.100000000000001" customHeight="1" outlineLevel="1"/>
    <row r="288" s="73" customFormat="1" ht="33" customHeight="1" outlineLevel="1"/>
    <row r="289" s="73" customFormat="1" ht="30" customHeight="1" outlineLevel="1"/>
    <row r="290" s="73" customFormat="1" ht="15" customHeight="1" outlineLevel="1"/>
    <row r="291" s="73" customFormat="1" ht="15" customHeight="1" outlineLevel="1"/>
    <row r="292" s="73" customFormat="1" ht="15" customHeight="1" outlineLevel="1"/>
    <row r="293" s="73" customFormat="1" ht="15" customHeight="1" outlineLevel="1"/>
    <row r="294" s="73" customFormat="1" ht="15" customHeight="1" outlineLevel="1"/>
    <row r="295" s="73" customFormat="1" ht="15" customHeight="1" outlineLevel="1"/>
    <row r="296" s="73" customFormat="1" ht="15" customHeight="1" outlineLevel="1"/>
    <row r="297" s="73" customFormat="1" ht="15" customHeight="1" outlineLevel="1"/>
    <row r="298" s="73" customFormat="1" ht="15" customHeight="1" outlineLevel="1"/>
    <row r="299" s="73" customFormat="1" ht="15" customHeight="1" outlineLevel="1"/>
    <row r="300" s="73" customFormat="1" ht="15" customHeight="1" outlineLevel="1"/>
    <row r="301" s="73" customFormat="1" ht="15" customHeight="1" outlineLevel="1"/>
    <row r="302" s="73" customFormat="1" ht="15" customHeight="1" outlineLevel="1"/>
    <row r="303" s="73" customFormat="1" ht="15" customHeight="1" outlineLevel="1"/>
    <row r="304" s="73" customFormat="1" ht="15" customHeight="1" outlineLevel="1"/>
    <row r="305" s="73" customFormat="1" ht="15" customHeight="1" outlineLevel="1"/>
    <row r="306" s="73" customFormat="1" ht="15" customHeight="1" outlineLevel="1"/>
    <row r="307" s="73" customFormat="1" ht="15" customHeight="1" outlineLevel="1"/>
    <row r="308" ht="15" customHeight="1"/>
  </sheetData>
  <mergeCells count="28">
    <mergeCell ref="G61:H61"/>
    <mergeCell ref="F63:G63"/>
    <mergeCell ref="D68:K68"/>
    <mergeCell ref="D69:K69"/>
    <mergeCell ref="D71:E71"/>
    <mergeCell ref="F71:K71"/>
    <mergeCell ref="D75:D76"/>
    <mergeCell ref="F75:G75"/>
    <mergeCell ref="H75:H76"/>
    <mergeCell ref="I75:I76"/>
    <mergeCell ref="K75:K76"/>
    <mergeCell ref="G59:H59"/>
    <mergeCell ref="F23:H23"/>
    <mergeCell ref="F26:G26"/>
    <mergeCell ref="F33:G33"/>
    <mergeCell ref="F36:G36"/>
    <mergeCell ref="F38:K38"/>
    <mergeCell ref="D41:K41"/>
    <mergeCell ref="D42:K42"/>
    <mergeCell ref="F48:K48"/>
    <mergeCell ref="G51:H51"/>
    <mergeCell ref="G53:H53"/>
    <mergeCell ref="F56:K56"/>
    <mergeCell ref="B5:K5"/>
    <mergeCell ref="F11:H11"/>
    <mergeCell ref="F13:H13"/>
    <mergeCell ref="C16:K16"/>
    <mergeCell ref="C17:K18"/>
  </mergeCells>
  <phoneticPr fontId="2"/>
  <dataValidations count="1">
    <dataValidation type="list" allowBlank="1" showInputMessage="1" showErrorMessage="1" sqref="H32" xr:uid="{062E9F92-6619-487E-A4AB-17FAD1A5BC8B}">
      <formula1>$D$77:$D$93</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2" manualBreakCount="2">
    <brk id="19" max="16383" man="1"/>
    <brk id="6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4574B-58F0-42F1-9EF7-6C5466AE6810}">
  <sheetPr>
    <pageSetUpPr fitToPage="1"/>
  </sheetPr>
  <dimension ref="A1:U308"/>
  <sheetViews>
    <sheetView zoomScaleNormal="100" workbookViewId="0"/>
  </sheetViews>
  <sheetFormatPr defaultRowHeight="18.75" outlineLevelRow="1"/>
  <cols>
    <col min="1" max="1" width="1.625" style="4" customWidth="1"/>
    <col min="2" max="3" width="4.25" style="4" customWidth="1"/>
    <col min="4" max="4" width="9" style="4"/>
    <col min="5" max="9" width="17.625" style="4" customWidth="1"/>
    <col min="10" max="10" width="1.625" style="16" customWidth="1"/>
    <col min="11" max="11" width="22.625" style="4" customWidth="1"/>
    <col min="12" max="12" width="1.625" style="4" customWidth="1"/>
    <col min="13" max="13" width="2.625" style="4" customWidth="1"/>
    <col min="14" max="14" width="8.625" style="9" customWidth="1"/>
    <col min="15" max="17" width="8.625" style="4" customWidth="1"/>
    <col min="18" max="25" width="8.125" style="4" customWidth="1"/>
    <col min="26" max="16384" width="9" style="4"/>
  </cols>
  <sheetData>
    <row r="1" spans="2:14" ht="5.25" customHeight="1" thickBot="1">
      <c r="B1" s="1"/>
      <c r="C1" s="1"/>
      <c r="D1" s="1"/>
      <c r="E1" s="1"/>
      <c r="F1" s="1"/>
      <c r="G1" s="1"/>
      <c r="H1" s="1"/>
      <c r="I1" s="1"/>
      <c r="J1" s="2"/>
      <c r="K1" s="1"/>
      <c r="L1" s="1"/>
      <c r="M1" s="1"/>
      <c r="N1" s="3"/>
    </row>
    <row r="2" spans="2:14" ht="15" customHeight="1" thickBot="1">
      <c r="B2" s="1"/>
      <c r="C2" s="1"/>
      <c r="E2" s="5"/>
      <c r="F2" s="3"/>
      <c r="G2" s="6"/>
      <c r="H2" s="1"/>
      <c r="J2" s="7" t="s">
        <v>0</v>
      </c>
      <c r="K2" s="8"/>
      <c r="L2" s="1"/>
      <c r="M2" s="1"/>
      <c r="N2" s="3"/>
    </row>
    <row r="3" spans="2:14" ht="15" customHeight="1">
      <c r="B3" s="1"/>
      <c r="C3" s="1"/>
      <c r="D3" s="9"/>
      <c r="E3" s="5"/>
      <c r="F3" s="6"/>
      <c r="H3" s="1"/>
      <c r="J3" s="2"/>
      <c r="K3" s="7" t="s">
        <v>123</v>
      </c>
      <c r="L3" s="1"/>
      <c r="M3" s="1"/>
      <c r="N3" s="10"/>
    </row>
    <row r="4" spans="2:14" s="5" customFormat="1" ht="15" customHeight="1">
      <c r="B4" s="11" t="s">
        <v>1</v>
      </c>
      <c r="C4" s="6"/>
      <c r="D4" s="6"/>
      <c r="E4" s="10"/>
      <c r="F4" s="6"/>
      <c r="G4" s="6"/>
      <c r="J4" s="12"/>
      <c r="K4" s="6"/>
      <c r="L4" s="6"/>
      <c r="M4" s="13"/>
      <c r="N4" s="3"/>
    </row>
    <row r="5" spans="2:14" ht="20.100000000000001" customHeight="1">
      <c r="B5" s="97" t="s">
        <v>2</v>
      </c>
      <c r="C5" s="97"/>
      <c r="D5" s="97"/>
      <c r="E5" s="97"/>
      <c r="F5" s="97"/>
      <c r="G5" s="97"/>
      <c r="H5" s="97"/>
      <c r="I5" s="97"/>
      <c r="J5" s="97"/>
      <c r="K5" s="97"/>
      <c r="L5" s="1"/>
      <c r="M5" s="14"/>
      <c r="N5" s="3"/>
    </row>
    <row r="6" spans="2:14" ht="20.100000000000001" customHeight="1" thickBot="1">
      <c r="B6" s="15" t="s">
        <v>3</v>
      </c>
      <c r="H6" s="1"/>
      <c r="I6" s="1"/>
    </row>
    <row r="7" spans="2:14" s="5" customFormat="1" ht="15" customHeight="1" thickBot="1">
      <c r="B7" s="17"/>
      <c r="C7" s="5" t="s">
        <v>4</v>
      </c>
      <c r="E7" s="5" t="s">
        <v>5</v>
      </c>
      <c r="G7" s="18" t="s">
        <v>6</v>
      </c>
      <c r="H7" s="6"/>
      <c r="I7" s="6"/>
      <c r="J7" s="19"/>
      <c r="N7" s="9"/>
    </row>
    <row r="8" spans="2:14" s="5" customFormat="1" ht="15" customHeight="1" thickBot="1">
      <c r="B8" s="17"/>
      <c r="E8" s="5" t="s">
        <v>7</v>
      </c>
      <c r="G8" s="18" t="s">
        <v>8</v>
      </c>
      <c r="H8" s="6"/>
      <c r="I8" s="6"/>
      <c r="J8" s="19"/>
      <c r="N8" s="9"/>
    </row>
    <row r="9" spans="2:14" s="5" customFormat="1" ht="15" customHeight="1" thickBot="1">
      <c r="B9" s="17"/>
      <c r="E9" s="5" t="s">
        <v>9</v>
      </c>
      <c r="G9" s="18" t="s">
        <v>78</v>
      </c>
      <c r="H9" s="6"/>
      <c r="I9" s="6"/>
      <c r="J9" s="19"/>
      <c r="N9" s="9"/>
    </row>
    <row r="10" spans="2:14" s="5" customFormat="1" ht="15" customHeight="1" thickBot="1">
      <c r="C10" s="5" t="s">
        <v>11</v>
      </c>
      <c r="J10" s="19"/>
      <c r="N10" s="9"/>
    </row>
    <row r="11" spans="2:14" ht="30" customHeight="1" thickTop="1" thickBot="1">
      <c r="D11" s="5" t="s">
        <v>12</v>
      </c>
      <c r="E11" s="5"/>
      <c r="F11" s="98" t="e">
        <f>F26+#REF!+#REF!+#REF!</f>
        <v>#REF!</v>
      </c>
      <c r="G11" s="99"/>
      <c r="H11" s="100"/>
      <c r="I11" s="4" t="s">
        <v>13</v>
      </c>
    </row>
    <row r="12" spans="2:14" ht="15" customHeight="1" thickTop="1" thickBot="1">
      <c r="C12" s="5" t="s">
        <v>14</v>
      </c>
      <c r="D12" s="5"/>
      <c r="E12" s="5"/>
      <c r="F12" s="5"/>
      <c r="G12" s="5"/>
      <c r="H12" s="5"/>
    </row>
    <row r="13" spans="2:14" ht="20.100000000000001" customHeight="1" thickTop="1" thickBot="1">
      <c r="D13" s="5" t="s">
        <v>12</v>
      </c>
      <c r="E13" s="5"/>
      <c r="F13" s="101" t="e">
        <f>IF(F36+#REF!+#REF!+#REF!=0,"-",F36+#REF!+#REF!+#REF!)</f>
        <v>#REF!</v>
      </c>
      <c r="G13" s="102"/>
      <c r="H13" s="103"/>
      <c r="I13" s="4" t="s">
        <v>13</v>
      </c>
    </row>
    <row r="14" spans="2:14" ht="15" customHeight="1" thickTop="1">
      <c r="C14" s="20"/>
      <c r="D14" s="5"/>
      <c r="E14" s="5"/>
      <c r="F14" s="21" t="e">
        <f>IF(F11&gt;=100,"エラー：過大の可能性がある値が記載されておりますので今一度ご確認ください。","")</f>
        <v>#REF!</v>
      </c>
      <c r="G14" s="22"/>
    </row>
    <row r="15" spans="2:14" ht="399.95" customHeight="1">
      <c r="D15" s="23"/>
    </row>
    <row r="16" spans="2:14" s="5" customFormat="1" ht="15" customHeight="1" thickBot="1">
      <c r="C16" s="104" t="s">
        <v>15</v>
      </c>
      <c r="D16" s="104"/>
      <c r="E16" s="104"/>
      <c r="F16" s="104"/>
      <c r="G16" s="104"/>
      <c r="H16" s="104"/>
      <c r="I16" s="104"/>
      <c r="J16" s="104"/>
      <c r="K16" s="104"/>
      <c r="M16" s="9"/>
      <c r="N16" s="9"/>
    </row>
    <row r="17" spans="2:21" s="5" customFormat="1" ht="150" customHeight="1">
      <c r="C17" s="162" t="s">
        <v>102</v>
      </c>
      <c r="D17" s="163"/>
      <c r="E17" s="163"/>
      <c r="F17" s="163"/>
      <c r="G17" s="163"/>
      <c r="H17" s="163"/>
      <c r="I17" s="163"/>
      <c r="J17" s="163"/>
      <c r="K17" s="164"/>
      <c r="M17" s="93"/>
      <c r="N17" s="93"/>
      <c r="O17" s="93"/>
      <c r="P17" s="93"/>
      <c r="Q17" s="93"/>
      <c r="R17" s="93"/>
      <c r="S17" s="24"/>
    </row>
    <row r="18" spans="2:21" s="5" customFormat="1" ht="150" customHeight="1" thickBot="1">
      <c r="C18" s="165"/>
      <c r="D18" s="166"/>
      <c r="E18" s="166"/>
      <c r="F18" s="166"/>
      <c r="G18" s="166"/>
      <c r="H18" s="166"/>
      <c r="I18" s="166"/>
      <c r="J18" s="166"/>
      <c r="K18" s="167"/>
      <c r="M18" s="93"/>
      <c r="N18" s="93"/>
      <c r="O18" s="93"/>
      <c r="P18" s="93"/>
      <c r="Q18" s="93"/>
      <c r="R18" s="93"/>
    </row>
    <row r="19" spans="2:21" s="5" customFormat="1" ht="6" customHeight="1">
      <c r="D19" s="25"/>
      <c r="J19" s="19"/>
      <c r="M19" s="83"/>
      <c r="N19" s="84"/>
      <c r="O19" s="83"/>
      <c r="P19" s="83"/>
      <c r="Q19" s="83"/>
      <c r="R19" s="83"/>
      <c r="S19" s="83"/>
      <c r="T19" s="83"/>
      <c r="U19" s="83"/>
    </row>
    <row r="20" spans="2:21" s="5" customFormat="1" ht="6" customHeight="1" outlineLevel="1">
      <c r="D20" s="25"/>
      <c r="J20" s="19"/>
      <c r="M20" s="83"/>
      <c r="N20" s="84"/>
      <c r="O20" s="85"/>
      <c r="P20" s="85"/>
      <c r="Q20" s="85"/>
      <c r="R20" s="85"/>
      <c r="S20" s="85"/>
      <c r="T20" s="85"/>
      <c r="U20" s="86"/>
    </row>
    <row r="21" spans="2:21" ht="20.100000000000001" customHeight="1" outlineLevel="1">
      <c r="B21" s="26" t="s">
        <v>16</v>
      </c>
      <c r="C21" s="20"/>
      <c r="D21" s="27"/>
      <c r="K21" s="7"/>
      <c r="M21" s="87"/>
      <c r="N21" s="84" t="s">
        <v>115</v>
      </c>
      <c r="O21" s="85"/>
      <c r="P21" s="85"/>
      <c r="Q21" s="85"/>
      <c r="R21" s="85"/>
      <c r="S21" s="85"/>
      <c r="T21" s="85"/>
      <c r="U21" s="83"/>
    </row>
    <row r="22" spans="2:21" ht="20.100000000000001" customHeight="1" outlineLevel="1" thickBot="1">
      <c r="B22" s="28" t="s">
        <v>17</v>
      </c>
      <c r="H22" s="1"/>
      <c r="K22" s="7" t="s">
        <v>123</v>
      </c>
      <c r="M22" s="87"/>
      <c r="N22" s="84"/>
      <c r="O22" s="84"/>
      <c r="P22" s="87" t="s">
        <v>116</v>
      </c>
      <c r="Q22" s="87" t="s">
        <v>117</v>
      </c>
      <c r="R22" s="87" t="s">
        <v>118</v>
      </c>
      <c r="S22" s="87" t="s">
        <v>119</v>
      </c>
      <c r="T22" s="87"/>
      <c r="U22" s="87"/>
    </row>
    <row r="23" spans="2:21" ht="15" customHeight="1" outlineLevel="1" thickBot="1">
      <c r="B23" s="28"/>
      <c r="C23" s="5" t="s">
        <v>18</v>
      </c>
      <c r="D23" s="5"/>
      <c r="E23" s="5"/>
      <c r="F23" s="113" t="s">
        <v>79</v>
      </c>
      <c r="G23" s="114"/>
      <c r="H23" s="115"/>
      <c r="I23" s="1"/>
      <c r="M23" s="87"/>
      <c r="N23" s="84"/>
      <c r="O23" s="88"/>
      <c r="P23" s="89" t="str">
        <f>IF(F23="","",F23)</f>
        <v>自動車部材のCFRPへの置き換えによる車両の軽量化</v>
      </c>
      <c r="Q23" s="89" t="e">
        <f>IF(#REF!="","",#REF!)</f>
        <v>#REF!</v>
      </c>
      <c r="R23" s="89" t="e">
        <f>IF(#REF!="","",#REF!)</f>
        <v>#REF!</v>
      </c>
      <c r="S23" s="89" t="e">
        <f>IF(#REF!="","",#REF!)</f>
        <v>#REF!</v>
      </c>
      <c r="T23" s="90" t="s">
        <v>120</v>
      </c>
      <c r="U23" s="87"/>
    </row>
    <row r="24" spans="2:21" ht="15" customHeight="1" outlineLevel="1">
      <c r="B24" s="28"/>
      <c r="C24" s="5"/>
      <c r="D24" s="5"/>
      <c r="E24" s="6"/>
      <c r="F24" s="6"/>
      <c r="G24" s="6"/>
      <c r="H24" s="6"/>
      <c r="I24" s="1"/>
      <c r="M24" s="87"/>
      <c r="N24" s="84"/>
      <c r="O24" s="91">
        <v>2024</v>
      </c>
      <c r="P24" s="92">
        <f t="shared" ref="P24:P40" si="0">K77</f>
        <v>0</v>
      </c>
      <c r="Q24" s="92" t="e">
        <f>#REF!</f>
        <v>#REF!</v>
      </c>
      <c r="R24" s="92" t="e">
        <f>#REF!</f>
        <v>#REF!</v>
      </c>
      <c r="S24" s="92" t="e">
        <f>#REF!</f>
        <v>#REF!</v>
      </c>
      <c r="T24" s="90" t="e">
        <f>SUM(P24:S24)</f>
        <v>#REF!</v>
      </c>
      <c r="U24" s="87"/>
    </row>
    <row r="25" spans="2:21" ht="15" customHeight="1" outlineLevel="1" thickBot="1">
      <c r="C25" s="5" t="s">
        <v>11</v>
      </c>
      <c r="D25" s="5"/>
      <c r="E25" s="5"/>
      <c r="F25" s="5"/>
      <c r="G25" s="5"/>
      <c r="H25" s="5"/>
      <c r="I25" s="1"/>
      <c r="M25" s="87"/>
      <c r="N25" s="84"/>
      <c r="O25" s="91">
        <v>2025</v>
      </c>
      <c r="P25" s="92">
        <f t="shared" si="0"/>
        <v>0</v>
      </c>
      <c r="Q25" s="92" t="e">
        <f>#REF!</f>
        <v>#REF!</v>
      </c>
      <c r="R25" s="92" t="e">
        <f>#REF!</f>
        <v>#REF!</v>
      </c>
      <c r="S25" s="92" t="e">
        <f>#REF!</f>
        <v>#REF!</v>
      </c>
      <c r="T25" s="90" t="e">
        <f t="shared" ref="T25:T40" si="1">SUM(P25:S25)</f>
        <v>#REF!</v>
      </c>
      <c r="U25" s="87"/>
    </row>
    <row r="26" spans="2:21" ht="20.100000000000001" customHeight="1" outlineLevel="1" thickBot="1">
      <c r="C26" s="5"/>
      <c r="D26" s="5" t="s">
        <v>12</v>
      </c>
      <c r="E26" s="5"/>
      <c r="F26" s="116">
        <f>F63*I93/10000</f>
        <v>10.02506855575224</v>
      </c>
      <c r="G26" s="117"/>
      <c r="H26" s="29" t="s">
        <v>13</v>
      </c>
      <c r="I26" s="1"/>
      <c r="M26" s="87"/>
      <c r="N26" s="84"/>
      <c r="O26" s="91">
        <v>2026</v>
      </c>
      <c r="P26" s="92">
        <f t="shared" si="0"/>
        <v>0.11794198300884989</v>
      </c>
      <c r="Q26" s="92" t="e">
        <f>#REF!</f>
        <v>#REF!</v>
      </c>
      <c r="R26" s="92" t="e">
        <f>#REF!</f>
        <v>#REF!</v>
      </c>
      <c r="S26" s="92" t="e">
        <f>#REF!</f>
        <v>#REF!</v>
      </c>
      <c r="T26" s="90" t="e">
        <f t="shared" si="1"/>
        <v>#REF!</v>
      </c>
      <c r="U26" s="87"/>
    </row>
    <row r="27" spans="2:21" ht="15" customHeight="1" outlineLevel="1">
      <c r="C27" s="5"/>
      <c r="D27" s="5"/>
      <c r="E27" s="5" t="s">
        <v>20</v>
      </c>
      <c r="F27" s="30"/>
      <c r="G27" s="30"/>
      <c r="H27" s="5"/>
      <c r="I27" s="1"/>
      <c r="M27" s="87"/>
      <c r="N27" s="84"/>
      <c r="O27" s="91">
        <v>2027</v>
      </c>
      <c r="P27" s="92">
        <f t="shared" si="0"/>
        <v>0.35382594902654962</v>
      </c>
      <c r="Q27" s="92" t="e">
        <f>#REF!</f>
        <v>#REF!</v>
      </c>
      <c r="R27" s="92" t="e">
        <f>#REF!</f>
        <v>#REF!</v>
      </c>
      <c r="S27" s="92" t="e">
        <f>#REF!</f>
        <v>#REF!</v>
      </c>
      <c r="T27" s="90" t="e">
        <f t="shared" si="1"/>
        <v>#REF!</v>
      </c>
      <c r="U27" s="87"/>
    </row>
    <row r="28" spans="2:21" ht="15" customHeight="1" outlineLevel="1">
      <c r="C28" s="5"/>
      <c r="D28" s="5"/>
      <c r="E28" s="31"/>
      <c r="F28" s="5" t="s">
        <v>12</v>
      </c>
      <c r="G28" s="32">
        <f>SUM(G51,G53)*I93/10000</f>
        <v>278.47412654867259</v>
      </c>
      <c r="H28" s="29" t="s">
        <v>13</v>
      </c>
      <c r="I28" s="1"/>
      <c r="M28" s="87"/>
      <c r="N28" s="84"/>
      <c r="O28" s="91">
        <v>2028</v>
      </c>
      <c r="P28" s="92">
        <f t="shared" si="0"/>
        <v>0.70765189805309925</v>
      </c>
      <c r="Q28" s="92" t="e">
        <f>#REF!</f>
        <v>#REF!</v>
      </c>
      <c r="R28" s="92" t="e">
        <f>#REF!</f>
        <v>#REF!</v>
      </c>
      <c r="S28" s="92" t="e">
        <f>#REF!</f>
        <v>#REF!</v>
      </c>
      <c r="T28" s="90" t="e">
        <f t="shared" si="1"/>
        <v>#REF!</v>
      </c>
      <c r="U28" s="87"/>
    </row>
    <row r="29" spans="2:21" ht="15" customHeight="1" outlineLevel="1">
      <c r="C29" s="5"/>
      <c r="D29" s="5"/>
      <c r="E29" s="5" t="s">
        <v>21</v>
      </c>
      <c r="F29" s="5"/>
      <c r="G29" s="30"/>
      <c r="H29" s="5"/>
      <c r="I29" s="1"/>
      <c r="M29" s="87"/>
      <c r="N29" s="84"/>
      <c r="O29" s="91">
        <v>2029</v>
      </c>
      <c r="P29" s="92">
        <f t="shared" si="0"/>
        <v>1.1794198300884988</v>
      </c>
      <c r="Q29" s="92" t="e">
        <f>#REF!</f>
        <v>#REF!</v>
      </c>
      <c r="R29" s="92" t="e">
        <f>#REF!</f>
        <v>#REF!</v>
      </c>
      <c r="S29" s="92" t="e">
        <f>#REF!</f>
        <v>#REF!</v>
      </c>
      <c r="T29" s="90" t="e">
        <f t="shared" si="1"/>
        <v>#REF!</v>
      </c>
      <c r="U29" s="87"/>
    </row>
    <row r="30" spans="2:21" ht="15" customHeight="1" outlineLevel="1">
      <c r="C30" s="5"/>
      <c r="D30" s="31"/>
      <c r="E30" s="5"/>
      <c r="F30" s="5" t="s">
        <v>12</v>
      </c>
      <c r="G30" s="32">
        <f>SUM(G59,G61)*I93/10000</f>
        <v>268.4490579929203</v>
      </c>
      <c r="H30" s="29" t="s">
        <v>13</v>
      </c>
      <c r="I30" s="1"/>
      <c r="M30" s="87"/>
      <c r="N30" s="84"/>
      <c r="O30" s="91">
        <v>2030</v>
      </c>
      <c r="P30" s="92">
        <f t="shared" si="0"/>
        <v>1.7691297451327481</v>
      </c>
      <c r="Q30" s="92" t="e">
        <f>#REF!</f>
        <v>#REF!</v>
      </c>
      <c r="R30" s="92" t="e">
        <f>#REF!</f>
        <v>#REF!</v>
      </c>
      <c r="S30" s="92" t="e">
        <f>#REF!</f>
        <v>#REF!</v>
      </c>
      <c r="T30" s="90" t="e">
        <f t="shared" si="1"/>
        <v>#REF!</v>
      </c>
      <c r="U30" s="87"/>
    </row>
    <row r="31" spans="2:21" ht="15" customHeight="1" outlineLevel="1" thickBot="1">
      <c r="C31" s="31"/>
      <c r="D31" s="5"/>
      <c r="E31" s="5"/>
      <c r="F31" s="30"/>
      <c r="G31" s="30"/>
      <c r="H31" s="5"/>
      <c r="I31" s="1"/>
      <c r="M31" s="87"/>
      <c r="N31" s="84"/>
      <c r="O31" s="91">
        <v>2031</v>
      </c>
      <c r="P31" s="92">
        <f t="shared" si="0"/>
        <v>2.4178106516814228</v>
      </c>
      <c r="Q31" s="92" t="e">
        <f>#REF!</f>
        <v>#REF!</v>
      </c>
      <c r="R31" s="92" t="e">
        <f>#REF!</f>
        <v>#REF!</v>
      </c>
      <c r="S31" s="92" t="e">
        <f>#REF!</f>
        <v>#REF!</v>
      </c>
      <c r="T31" s="90" t="e">
        <f t="shared" si="1"/>
        <v>#REF!</v>
      </c>
      <c r="U31" s="87"/>
    </row>
    <row r="32" spans="2:21" ht="15" customHeight="1" outlineLevel="1" thickBot="1">
      <c r="C32" s="33" t="s">
        <v>22</v>
      </c>
      <c r="D32" s="31"/>
      <c r="E32" s="5"/>
      <c r="F32" s="5"/>
      <c r="G32" s="33" t="s">
        <v>23</v>
      </c>
      <c r="H32" s="34">
        <v>2026</v>
      </c>
      <c r="I32" s="4" t="s">
        <v>24</v>
      </c>
      <c r="M32" s="87"/>
      <c r="N32" s="84"/>
      <c r="O32" s="91">
        <v>2032</v>
      </c>
      <c r="P32" s="92">
        <f t="shared" si="0"/>
        <v>3.1254625497345221</v>
      </c>
      <c r="Q32" s="92" t="e">
        <f>#REF!</f>
        <v>#REF!</v>
      </c>
      <c r="R32" s="92" t="e">
        <f>#REF!</f>
        <v>#REF!</v>
      </c>
      <c r="S32" s="92" t="e">
        <f>#REF!</f>
        <v>#REF!</v>
      </c>
      <c r="T32" s="90" t="e">
        <f t="shared" si="1"/>
        <v>#REF!</v>
      </c>
      <c r="U32" s="87"/>
    </row>
    <row r="33" spans="1:21" ht="20.100000000000001" customHeight="1" outlineLevel="1" thickBot="1">
      <c r="C33" s="31"/>
      <c r="D33" s="33" t="s">
        <v>12</v>
      </c>
      <c r="E33" s="5"/>
      <c r="F33" s="116">
        <f>F63*VLOOKUP(H32+3,D77:I93,6,FALSE)/10000</f>
        <v>1.1794198300884988</v>
      </c>
      <c r="G33" s="117"/>
      <c r="H33" s="29" t="s">
        <v>13</v>
      </c>
      <c r="M33" s="87"/>
      <c r="N33" s="84"/>
      <c r="O33" s="91">
        <v>2033</v>
      </c>
      <c r="P33" s="92">
        <f t="shared" si="0"/>
        <v>3.8920854392920461</v>
      </c>
      <c r="Q33" s="92" t="e">
        <f>#REF!</f>
        <v>#REF!</v>
      </c>
      <c r="R33" s="92" t="e">
        <f>#REF!</f>
        <v>#REF!</v>
      </c>
      <c r="S33" s="92" t="e">
        <f>#REF!</f>
        <v>#REF!</v>
      </c>
      <c r="T33" s="90" t="e">
        <f t="shared" si="1"/>
        <v>#REF!</v>
      </c>
      <c r="U33" s="87"/>
    </row>
    <row r="34" spans="1:21" ht="20.100000000000001" customHeight="1" outlineLevel="1">
      <c r="C34" s="31"/>
      <c r="D34" s="33"/>
      <c r="E34" s="5"/>
      <c r="F34" s="35"/>
      <c r="G34" s="35"/>
      <c r="H34" s="5"/>
      <c r="M34" s="87"/>
      <c r="N34" s="84"/>
      <c r="O34" s="91">
        <v>2034</v>
      </c>
      <c r="P34" s="92">
        <f t="shared" si="0"/>
        <v>4.7176793203539953</v>
      </c>
      <c r="Q34" s="92" t="e">
        <f>#REF!</f>
        <v>#REF!</v>
      </c>
      <c r="R34" s="92" t="e">
        <f>#REF!</f>
        <v>#REF!</v>
      </c>
      <c r="S34" s="92" t="e">
        <f>#REF!</f>
        <v>#REF!</v>
      </c>
      <c r="T34" s="90" t="e">
        <f t="shared" si="1"/>
        <v>#REF!</v>
      </c>
      <c r="U34" s="87"/>
    </row>
    <row r="35" spans="1:21" ht="20.100000000000001" customHeight="1" outlineLevel="1" thickBot="1">
      <c r="C35" s="5" t="s">
        <v>25</v>
      </c>
      <c r="D35" s="5"/>
      <c r="E35" s="5"/>
      <c r="F35" s="5"/>
      <c r="G35" s="5"/>
      <c r="H35" s="5"/>
      <c r="M35" s="87"/>
      <c r="N35" s="84"/>
      <c r="O35" s="91">
        <v>2035</v>
      </c>
      <c r="P35" s="92">
        <f t="shared" si="0"/>
        <v>5.6022441929203692</v>
      </c>
      <c r="Q35" s="92" t="e">
        <f>#REF!</f>
        <v>#REF!</v>
      </c>
      <c r="R35" s="92" t="e">
        <f>#REF!</f>
        <v>#REF!</v>
      </c>
      <c r="S35" s="92" t="e">
        <f>#REF!</f>
        <v>#REF!</v>
      </c>
      <c r="T35" s="90" t="e">
        <f t="shared" si="1"/>
        <v>#REF!</v>
      </c>
      <c r="U35" s="87"/>
    </row>
    <row r="36" spans="1:21" ht="20.100000000000001" customHeight="1" outlineLevel="1" thickBot="1">
      <c r="C36" s="5"/>
      <c r="D36" s="5" t="s">
        <v>12</v>
      </c>
      <c r="E36" s="5"/>
      <c r="F36" s="118">
        <f>0.013714*4085000*2/10000</f>
        <v>11.204338</v>
      </c>
      <c r="G36" s="119"/>
      <c r="H36" s="5" t="s">
        <v>13</v>
      </c>
      <c r="M36" s="87"/>
      <c r="N36" s="84"/>
      <c r="O36" s="91">
        <v>2036</v>
      </c>
      <c r="P36" s="92">
        <f t="shared" si="0"/>
        <v>6.4868090654867432</v>
      </c>
      <c r="Q36" s="92" t="e">
        <f>#REF!</f>
        <v>#REF!</v>
      </c>
      <c r="R36" s="92" t="e">
        <f>#REF!</f>
        <v>#REF!</v>
      </c>
      <c r="S36" s="92" t="e">
        <f>#REF!</f>
        <v>#REF!</v>
      </c>
      <c r="T36" s="90" t="e">
        <f t="shared" si="1"/>
        <v>#REF!</v>
      </c>
      <c r="U36" s="87"/>
    </row>
    <row r="37" spans="1:21" ht="9.9499999999999993" customHeight="1" outlineLevel="1" thickBot="1">
      <c r="C37" s="5"/>
      <c r="D37" s="5"/>
      <c r="E37" s="5"/>
      <c r="F37" s="5"/>
      <c r="G37" s="5"/>
      <c r="H37" s="5"/>
      <c r="M37" s="87"/>
      <c r="N37" s="84"/>
      <c r="O37" s="91">
        <v>2037</v>
      </c>
      <c r="P37" s="92">
        <f t="shared" si="0"/>
        <v>7.3713739380531171</v>
      </c>
      <c r="Q37" s="92" t="e">
        <f>#REF!</f>
        <v>#REF!</v>
      </c>
      <c r="R37" s="92" t="e">
        <f>#REF!</f>
        <v>#REF!</v>
      </c>
      <c r="S37" s="92" t="e">
        <f>#REF!</f>
        <v>#REF!</v>
      </c>
      <c r="T37" s="90" t="e">
        <f t="shared" si="1"/>
        <v>#REF!</v>
      </c>
      <c r="U37" s="87"/>
    </row>
    <row r="38" spans="1:21" ht="52.5" customHeight="1" outlineLevel="1" thickBot="1">
      <c r="C38" s="31"/>
      <c r="D38" s="33" t="s">
        <v>26</v>
      </c>
      <c r="E38" s="5"/>
      <c r="F38" s="120" t="s">
        <v>80</v>
      </c>
      <c r="G38" s="121"/>
      <c r="H38" s="121"/>
      <c r="I38" s="121"/>
      <c r="J38" s="121"/>
      <c r="K38" s="122"/>
      <c r="M38" s="87"/>
      <c r="N38" s="84"/>
      <c r="O38" s="91">
        <v>2038</v>
      </c>
      <c r="P38" s="92">
        <f t="shared" si="0"/>
        <v>8.255938810619492</v>
      </c>
      <c r="Q38" s="92" t="e">
        <f>#REF!</f>
        <v>#REF!</v>
      </c>
      <c r="R38" s="92" t="e">
        <f>#REF!</f>
        <v>#REF!</v>
      </c>
      <c r="S38" s="92" t="e">
        <f>#REF!</f>
        <v>#REF!</v>
      </c>
      <c r="T38" s="90" t="e">
        <f t="shared" si="1"/>
        <v>#REF!</v>
      </c>
      <c r="U38" s="87"/>
    </row>
    <row r="39" spans="1:21" ht="15" customHeight="1" outlineLevel="1">
      <c r="D39" s="23"/>
      <c r="M39" s="87"/>
      <c r="N39" s="84"/>
      <c r="O39" s="91">
        <v>2039</v>
      </c>
      <c r="P39" s="92">
        <f t="shared" si="0"/>
        <v>9.1405036831858659</v>
      </c>
      <c r="Q39" s="92" t="e">
        <f>#REF!</f>
        <v>#REF!</v>
      </c>
      <c r="R39" s="92" t="e">
        <f>#REF!</f>
        <v>#REF!</v>
      </c>
      <c r="S39" s="92" t="e">
        <f>#REF!</f>
        <v>#REF!</v>
      </c>
      <c r="T39" s="90" t="e">
        <f t="shared" si="1"/>
        <v>#REF!</v>
      </c>
      <c r="U39" s="87"/>
    </row>
    <row r="40" spans="1:21" ht="20.100000000000001" customHeight="1" outlineLevel="1">
      <c r="B40" s="28" t="s">
        <v>27</v>
      </c>
      <c r="M40" s="87"/>
      <c r="N40" s="84"/>
      <c r="O40" s="91">
        <v>2040</v>
      </c>
      <c r="P40" s="92">
        <f t="shared" si="0"/>
        <v>10.02506855575224</v>
      </c>
      <c r="Q40" s="92" t="e">
        <f>#REF!</f>
        <v>#REF!</v>
      </c>
      <c r="R40" s="92" t="e">
        <f>#REF!</f>
        <v>#REF!</v>
      </c>
      <c r="S40" s="92" t="e">
        <f>#REF!</f>
        <v>#REF!</v>
      </c>
      <c r="T40" s="90" t="e">
        <f t="shared" si="1"/>
        <v>#REF!</v>
      </c>
      <c r="U40" s="87"/>
    </row>
    <row r="41" spans="1:21" ht="30" customHeight="1" outlineLevel="1" thickBot="1">
      <c r="B41" s="28"/>
      <c r="D41" s="123" t="s">
        <v>28</v>
      </c>
      <c r="E41" s="123"/>
      <c r="F41" s="123"/>
      <c r="G41" s="123"/>
      <c r="H41" s="123"/>
      <c r="I41" s="123"/>
      <c r="J41" s="123"/>
      <c r="K41" s="123"/>
      <c r="M41" s="87"/>
      <c r="N41" s="84"/>
      <c r="O41" s="87"/>
      <c r="P41" s="87"/>
      <c r="Q41" s="87"/>
      <c r="R41" s="87"/>
      <c r="S41" s="87"/>
      <c r="T41" s="87"/>
      <c r="U41" s="87"/>
    </row>
    <row r="42" spans="1:21" ht="399.75" customHeight="1" outlineLevel="1" thickBot="1">
      <c r="D42" s="170" t="s">
        <v>103</v>
      </c>
      <c r="E42" s="171"/>
      <c r="F42" s="171"/>
      <c r="G42" s="171"/>
      <c r="H42" s="171"/>
      <c r="I42" s="171"/>
      <c r="J42" s="171"/>
      <c r="K42" s="172"/>
      <c r="M42" s="87"/>
      <c r="N42" s="84"/>
      <c r="O42" s="87"/>
      <c r="P42" s="87"/>
      <c r="Q42" s="87"/>
      <c r="R42" s="87"/>
      <c r="S42" s="87"/>
      <c r="T42" s="87"/>
      <c r="U42" s="87"/>
    </row>
    <row r="43" spans="1:21" s="5" customFormat="1" ht="15" customHeight="1" outlineLevel="1">
      <c r="A43" s="4"/>
      <c r="M43" s="83"/>
      <c r="N43" s="84"/>
      <c r="O43" s="83" t="s">
        <v>29</v>
      </c>
      <c r="P43" s="83"/>
      <c r="Q43" s="83"/>
      <c r="R43" s="83"/>
      <c r="S43" s="83"/>
      <c r="T43" s="83"/>
      <c r="U43" s="83"/>
    </row>
    <row r="44" spans="1:21" s="5" customFormat="1" ht="15" customHeight="1" outlineLevel="1">
      <c r="A44" s="4"/>
      <c r="E44" s="5" t="s">
        <v>29</v>
      </c>
      <c r="F44" s="5" t="s">
        <v>30</v>
      </c>
      <c r="H44" s="36">
        <f>$Q$44</f>
        <v>8.64</v>
      </c>
      <c r="I44" s="5" t="s">
        <v>31</v>
      </c>
      <c r="M44" s="83"/>
      <c r="N44" s="83"/>
      <c r="O44" s="83" t="s">
        <v>30</v>
      </c>
      <c r="P44" s="83"/>
      <c r="Q44" s="94">
        <v>8.64</v>
      </c>
      <c r="R44" s="83" t="s">
        <v>31</v>
      </c>
      <c r="S44" s="83"/>
      <c r="T44" s="83"/>
      <c r="U44" s="83"/>
    </row>
    <row r="45" spans="1:21" s="5" customFormat="1" ht="15" customHeight="1" outlineLevel="1">
      <c r="A45" s="4"/>
      <c r="F45" s="5" t="s">
        <v>32</v>
      </c>
      <c r="H45" s="36">
        <f>$Q$45</f>
        <v>2.58</v>
      </c>
      <c r="I45" s="5" t="s">
        <v>33</v>
      </c>
      <c r="M45" s="83"/>
      <c r="N45" s="83"/>
      <c r="O45" s="83" t="s">
        <v>32</v>
      </c>
      <c r="P45" s="83"/>
      <c r="Q45" s="95">
        <v>2.58</v>
      </c>
      <c r="R45" s="83" t="s">
        <v>33</v>
      </c>
      <c r="S45" s="83"/>
      <c r="T45" s="83"/>
      <c r="U45" s="83"/>
    </row>
    <row r="46" spans="1:21" s="5" customFormat="1" ht="15" customHeight="1" outlineLevel="1">
      <c r="A46" s="4"/>
      <c r="G46" s="19"/>
      <c r="H46" s="19"/>
      <c r="J46" s="19"/>
      <c r="N46" s="9"/>
    </row>
    <row r="47" spans="1:21" s="5" customFormat="1" ht="15" customHeight="1" outlineLevel="1" thickBot="1">
      <c r="D47" s="5" t="s">
        <v>34</v>
      </c>
      <c r="J47" s="19"/>
      <c r="N47" s="9"/>
    </row>
    <row r="48" spans="1:21" s="5" customFormat="1" ht="45" customHeight="1" outlineLevel="1" thickBot="1">
      <c r="E48" s="37" t="s">
        <v>35</v>
      </c>
      <c r="F48" s="127" t="s">
        <v>104</v>
      </c>
      <c r="G48" s="128"/>
      <c r="H48" s="128"/>
      <c r="I48" s="128"/>
      <c r="J48" s="128"/>
      <c r="K48" s="129"/>
      <c r="N48" s="9"/>
    </row>
    <row r="49" spans="4:16" s="5" customFormat="1" ht="15" customHeight="1" outlineLevel="1" thickBot="1">
      <c r="J49" s="19"/>
      <c r="N49" s="9"/>
    </row>
    <row r="50" spans="4:16" s="5" customFormat="1" ht="15" customHeight="1" outlineLevel="1" thickBot="1">
      <c r="D50" s="38"/>
      <c r="E50" s="5" t="s">
        <v>37</v>
      </c>
      <c r="F50" s="42"/>
      <c r="G50" s="5" t="s">
        <v>38</v>
      </c>
      <c r="J50" s="19"/>
      <c r="N50" s="9"/>
    </row>
    <row r="51" spans="4:16" s="5" customFormat="1" ht="15" customHeight="1" outlineLevel="1" thickBot="1">
      <c r="D51" s="40"/>
      <c r="F51" s="9"/>
      <c r="G51" s="130">
        <f>+F50*H44*H45/100000</f>
        <v>0</v>
      </c>
      <c r="H51" s="131"/>
      <c r="I51" s="5" t="s">
        <v>39</v>
      </c>
      <c r="J51" s="41" t="s">
        <v>40</v>
      </c>
      <c r="K51" s="38"/>
      <c r="L51" s="38"/>
      <c r="N51" s="9"/>
    </row>
    <row r="52" spans="4:16" s="5" customFormat="1" ht="15" customHeight="1" outlineLevel="1" thickBot="1">
      <c r="D52" s="38"/>
      <c r="E52" s="5" t="s">
        <v>41</v>
      </c>
      <c r="F52" s="79">
        <f>10000/22.6*33.37</f>
        <v>14765.486725663715</v>
      </c>
      <c r="G52" s="5" t="s">
        <v>42</v>
      </c>
      <c r="J52" s="41"/>
      <c r="K52" s="38"/>
      <c r="L52" s="38"/>
      <c r="N52" s="9"/>
    </row>
    <row r="53" spans="4:16" s="5" customFormat="1" ht="15" customHeight="1" outlineLevel="1">
      <c r="D53" s="40"/>
      <c r="G53" s="111">
        <f>+F52*H45/100000</f>
        <v>0.38094955752212389</v>
      </c>
      <c r="H53" s="112"/>
      <c r="I53" s="5" t="s">
        <v>39</v>
      </c>
      <c r="J53" s="41" t="s">
        <v>40</v>
      </c>
      <c r="K53" s="38"/>
      <c r="L53" s="38"/>
      <c r="N53" s="9"/>
    </row>
    <row r="54" spans="4:16" s="5" customFormat="1" ht="15" customHeight="1" outlineLevel="1">
      <c r="J54" s="19"/>
      <c r="N54" s="9"/>
    </row>
    <row r="55" spans="4:16" s="5" customFormat="1" ht="15" customHeight="1" outlineLevel="1" thickBot="1">
      <c r="D55" s="5" t="s">
        <v>43</v>
      </c>
      <c r="J55" s="19"/>
      <c r="N55" s="9"/>
    </row>
    <row r="56" spans="4:16" s="5" customFormat="1" ht="45" customHeight="1" outlineLevel="1" thickBot="1">
      <c r="E56" s="37" t="s">
        <v>44</v>
      </c>
      <c r="F56" s="127" t="s">
        <v>98</v>
      </c>
      <c r="G56" s="128"/>
      <c r="H56" s="128"/>
      <c r="I56" s="128"/>
      <c r="J56" s="128"/>
      <c r="K56" s="129"/>
      <c r="N56" s="9"/>
    </row>
    <row r="57" spans="4:16" s="5" customFormat="1" ht="15" customHeight="1" outlineLevel="1" thickBot="1">
      <c r="J57" s="19"/>
      <c r="N57" s="9"/>
    </row>
    <row r="58" spans="4:16" s="5" customFormat="1" ht="15" customHeight="1" outlineLevel="1" thickBot="1">
      <c r="D58" s="38"/>
      <c r="E58" s="5" t="s">
        <v>37</v>
      </c>
      <c r="F58" s="42"/>
      <c r="G58" s="43" t="s">
        <v>38</v>
      </c>
      <c r="H58" s="43"/>
      <c r="J58" s="19"/>
      <c r="N58" s="9"/>
    </row>
    <row r="59" spans="4:16" s="5" customFormat="1" ht="15" customHeight="1" outlineLevel="1" thickBot="1">
      <c r="D59" s="40"/>
      <c r="F59" s="9"/>
      <c r="G59" s="111">
        <f>+F58*H44*H45/100000</f>
        <v>0</v>
      </c>
      <c r="H59" s="112"/>
      <c r="I59" s="5" t="s">
        <v>39</v>
      </c>
      <c r="J59" s="19" t="s">
        <v>46</v>
      </c>
      <c r="K59" s="40"/>
      <c r="L59" s="40"/>
      <c r="N59" s="9"/>
    </row>
    <row r="60" spans="4:16" s="5" customFormat="1" ht="15" customHeight="1" outlineLevel="1" thickBot="1">
      <c r="D60" s="38"/>
      <c r="E60" s="5" t="s">
        <v>41</v>
      </c>
      <c r="F60" s="80">
        <f>F52*0.964</f>
        <v>14233.929203539821</v>
      </c>
      <c r="G60" s="5" t="s">
        <v>42</v>
      </c>
      <c r="J60" s="19"/>
      <c r="N60" s="9"/>
    </row>
    <row r="61" spans="4:16" s="5" customFormat="1" ht="15" customHeight="1" outlineLevel="1">
      <c r="D61" s="40"/>
      <c r="G61" s="111">
        <f>+F60*H45/100000</f>
        <v>0.3672353734513274</v>
      </c>
      <c r="H61" s="112"/>
      <c r="I61" s="5" t="s">
        <v>39</v>
      </c>
      <c r="J61" s="19" t="s">
        <v>46</v>
      </c>
      <c r="K61" s="40"/>
      <c r="L61" s="40"/>
      <c r="N61" s="9"/>
    </row>
    <row r="62" spans="4:16" s="5" customFormat="1" ht="15" customHeight="1" outlineLevel="1" thickBot="1">
      <c r="J62" s="19"/>
      <c r="N62" s="9"/>
    </row>
    <row r="63" spans="4:16" s="5" customFormat="1" ht="15" customHeight="1" outlineLevel="1" thickBot="1">
      <c r="D63" s="5" t="s">
        <v>47</v>
      </c>
      <c r="E63" s="5" t="s">
        <v>48</v>
      </c>
      <c r="F63" s="152">
        <f>SUM(G51,G53)-SUM(G59,G61)</f>
        <v>1.3714184070796498E-2</v>
      </c>
      <c r="G63" s="153"/>
      <c r="H63" s="5" t="s">
        <v>39</v>
      </c>
      <c r="J63" s="19"/>
      <c r="N63" s="9"/>
      <c r="P63" s="45"/>
    </row>
    <row r="64" spans="4:16" ht="6" customHeight="1" outlineLevel="1">
      <c r="F64" s="46"/>
      <c r="G64" s="46"/>
    </row>
    <row r="65" spans="2:11" ht="6" customHeight="1" outlineLevel="1">
      <c r="F65" s="46"/>
      <c r="G65" s="46"/>
    </row>
    <row r="66" spans="2:11" ht="20.100000000000001" customHeight="1" outlineLevel="1">
      <c r="F66" s="46"/>
      <c r="G66" s="46"/>
      <c r="K66" s="7"/>
    </row>
    <row r="67" spans="2:11" ht="20.100000000000001" customHeight="1" outlineLevel="1">
      <c r="B67" s="47" t="s">
        <v>49</v>
      </c>
      <c r="K67" s="7" t="s">
        <v>123</v>
      </c>
    </row>
    <row r="68" spans="2:11" ht="30" customHeight="1" outlineLevel="1" thickBot="1">
      <c r="B68" s="28"/>
      <c r="D68" s="134" t="s">
        <v>28</v>
      </c>
      <c r="E68" s="134"/>
      <c r="F68" s="134"/>
      <c r="G68" s="134"/>
      <c r="H68" s="134"/>
      <c r="I68" s="134"/>
      <c r="J68" s="134"/>
      <c r="K68" s="134"/>
    </row>
    <row r="69" spans="2:11" ht="399.95" customHeight="1" outlineLevel="1" thickBot="1">
      <c r="D69" s="170" t="s">
        <v>105</v>
      </c>
      <c r="E69" s="171"/>
      <c r="F69" s="171"/>
      <c r="G69" s="171"/>
      <c r="H69" s="171"/>
      <c r="I69" s="171"/>
      <c r="J69" s="171"/>
      <c r="K69" s="172"/>
    </row>
    <row r="70" spans="2:11" ht="15" customHeight="1" outlineLevel="1" thickBot="1">
      <c r="D70" s="48"/>
      <c r="E70" s="48"/>
      <c r="F70" s="48"/>
      <c r="G70" s="48"/>
      <c r="H70" s="48"/>
      <c r="I70" s="48"/>
    </row>
    <row r="71" spans="2:11" ht="45" customHeight="1" outlineLevel="1" thickBot="1">
      <c r="D71" s="138" t="s">
        <v>50</v>
      </c>
      <c r="E71" s="139"/>
      <c r="F71" s="140" t="s">
        <v>138</v>
      </c>
      <c r="G71" s="141"/>
      <c r="H71" s="141"/>
      <c r="I71" s="141"/>
      <c r="J71" s="141"/>
      <c r="K71" s="142"/>
    </row>
    <row r="72" spans="2:11" ht="15" customHeight="1" outlineLevel="1">
      <c r="D72" s="48"/>
      <c r="E72" s="48"/>
      <c r="F72" s="48"/>
      <c r="G72" s="48"/>
      <c r="H72" s="48"/>
      <c r="I72" s="48"/>
    </row>
    <row r="73" spans="2:11" ht="20.100000000000001" customHeight="1" outlineLevel="1">
      <c r="D73" s="48"/>
      <c r="E73" s="48"/>
      <c r="F73" s="48"/>
      <c r="G73" s="48"/>
      <c r="H73" s="48"/>
      <c r="I73" s="48"/>
      <c r="J73" s="49" t="s">
        <v>52</v>
      </c>
    </row>
    <row r="74" spans="2:11" ht="20.100000000000001" customHeight="1" outlineLevel="1" thickBot="1">
      <c r="D74" s="4" t="s">
        <v>53</v>
      </c>
      <c r="K74" s="50" t="s">
        <v>2</v>
      </c>
    </row>
    <row r="75" spans="2:11" ht="33" customHeight="1" outlineLevel="1" thickBot="1">
      <c r="D75" s="143" t="s">
        <v>54</v>
      </c>
      <c r="E75" s="51" t="s">
        <v>55</v>
      </c>
      <c r="F75" s="145" t="s">
        <v>56</v>
      </c>
      <c r="G75" s="145"/>
      <c r="H75" s="146" t="s">
        <v>57</v>
      </c>
      <c r="I75" s="148" t="s">
        <v>58</v>
      </c>
      <c r="K75" s="150" t="s">
        <v>59</v>
      </c>
    </row>
    <row r="76" spans="2:11" ht="30" customHeight="1" outlineLevel="1">
      <c r="D76" s="144"/>
      <c r="E76" s="52" t="s">
        <v>60</v>
      </c>
      <c r="F76" s="53" t="s">
        <v>61</v>
      </c>
      <c r="G76" s="54" t="s">
        <v>62</v>
      </c>
      <c r="H76" s="147"/>
      <c r="I76" s="149"/>
      <c r="K76" s="151"/>
    </row>
    <row r="77" spans="2:11" ht="15" customHeight="1" outlineLevel="1">
      <c r="D77" s="55">
        <v>2024</v>
      </c>
      <c r="E77" s="56">
        <v>4300000</v>
      </c>
      <c r="F77" s="57"/>
      <c r="G77" s="58">
        <f>IF(E77="","",F77/E77)</f>
        <v>0</v>
      </c>
      <c r="H77" s="59"/>
      <c r="I77" s="60">
        <f>F77-H77</f>
        <v>0</v>
      </c>
      <c r="K77" s="61">
        <f t="shared" ref="K77:K93" si="2">I77*F$63/10000</f>
        <v>0</v>
      </c>
    </row>
    <row r="78" spans="2:11" ht="15" customHeight="1" outlineLevel="1">
      <c r="D78" s="55">
        <v>2025</v>
      </c>
      <c r="E78" s="56">
        <v>4300000</v>
      </c>
      <c r="F78" s="57"/>
      <c r="G78" s="58">
        <f t="shared" ref="G78:G93" si="3">IF(E78="","",F78/E78)</f>
        <v>0</v>
      </c>
      <c r="H78" s="59"/>
      <c r="I78" s="60">
        <f>I77+F78-H78</f>
        <v>0</v>
      </c>
      <c r="K78" s="61">
        <f t="shared" si="2"/>
        <v>0</v>
      </c>
    </row>
    <row r="79" spans="2:11" ht="15" customHeight="1" outlineLevel="1">
      <c r="D79" s="55">
        <v>2026</v>
      </c>
      <c r="E79" s="56">
        <v>4300000</v>
      </c>
      <c r="F79" s="57">
        <f>E79*0.02</f>
        <v>86000</v>
      </c>
      <c r="G79" s="58">
        <f t="shared" si="3"/>
        <v>0.02</v>
      </c>
      <c r="H79" s="59"/>
      <c r="I79" s="60">
        <f t="shared" ref="I79:I92" si="4">I78+F79-H79</f>
        <v>86000</v>
      </c>
      <c r="K79" s="61">
        <f t="shared" si="2"/>
        <v>0.11794198300884989</v>
      </c>
    </row>
    <row r="80" spans="2:11" ht="15" customHeight="1" outlineLevel="1">
      <c r="D80" s="55">
        <v>2027</v>
      </c>
      <c r="E80" s="56">
        <v>4300000</v>
      </c>
      <c r="F80" s="57">
        <f>E80*0.04</f>
        <v>172000</v>
      </c>
      <c r="G80" s="58">
        <f t="shared" si="3"/>
        <v>0.04</v>
      </c>
      <c r="H80" s="59"/>
      <c r="I80" s="60">
        <f t="shared" si="4"/>
        <v>258000</v>
      </c>
      <c r="K80" s="61">
        <f t="shared" si="2"/>
        <v>0.35382594902654962</v>
      </c>
    </row>
    <row r="81" spans="4:11" ht="15" customHeight="1" outlineLevel="1">
      <c r="D81" s="55">
        <v>2028</v>
      </c>
      <c r="E81" s="56">
        <v>4300000</v>
      </c>
      <c r="F81" s="57">
        <f>E81*0.06</f>
        <v>258000</v>
      </c>
      <c r="G81" s="58">
        <f t="shared" si="3"/>
        <v>0.06</v>
      </c>
      <c r="H81" s="59"/>
      <c r="I81" s="60">
        <f t="shared" si="4"/>
        <v>516000</v>
      </c>
      <c r="K81" s="61">
        <f t="shared" si="2"/>
        <v>0.70765189805309925</v>
      </c>
    </row>
    <row r="82" spans="4:11" ht="15" customHeight="1" outlineLevel="1">
      <c r="D82" s="55">
        <v>2029</v>
      </c>
      <c r="E82" s="56">
        <v>4300000</v>
      </c>
      <c r="F82" s="57">
        <f>E82*0.08</f>
        <v>344000</v>
      </c>
      <c r="G82" s="58">
        <f t="shared" si="3"/>
        <v>0.08</v>
      </c>
      <c r="H82" s="59"/>
      <c r="I82" s="60">
        <f t="shared" si="4"/>
        <v>860000</v>
      </c>
      <c r="K82" s="61">
        <f t="shared" si="2"/>
        <v>1.1794198300884988</v>
      </c>
    </row>
    <row r="83" spans="4:11" ht="15" customHeight="1" outlineLevel="1">
      <c r="D83" s="55">
        <v>2030</v>
      </c>
      <c r="E83" s="56">
        <v>4300000</v>
      </c>
      <c r="F83" s="57">
        <f>E83*0.1</f>
        <v>430000</v>
      </c>
      <c r="G83" s="58">
        <f t="shared" si="3"/>
        <v>0.1</v>
      </c>
      <c r="H83" s="59"/>
      <c r="I83" s="60">
        <f t="shared" si="4"/>
        <v>1290000</v>
      </c>
      <c r="K83" s="61">
        <f t="shared" si="2"/>
        <v>1.7691297451327481</v>
      </c>
    </row>
    <row r="84" spans="4:11" ht="15" customHeight="1" outlineLevel="1">
      <c r="D84" s="55">
        <v>2031</v>
      </c>
      <c r="E84" s="56">
        <v>4300000</v>
      </c>
      <c r="F84" s="57">
        <f>E84*0.11</f>
        <v>473000</v>
      </c>
      <c r="G84" s="58">
        <f t="shared" si="3"/>
        <v>0.11</v>
      </c>
      <c r="H84" s="59"/>
      <c r="I84" s="60">
        <f t="shared" si="4"/>
        <v>1763000</v>
      </c>
      <c r="K84" s="61">
        <f t="shared" si="2"/>
        <v>2.4178106516814228</v>
      </c>
    </row>
    <row r="85" spans="4:11" ht="15" customHeight="1" outlineLevel="1">
      <c r="D85" s="55">
        <v>2032</v>
      </c>
      <c r="E85" s="56">
        <v>4300000</v>
      </c>
      <c r="F85" s="57">
        <f>E85*0.12</f>
        <v>516000</v>
      </c>
      <c r="G85" s="58">
        <f t="shared" si="3"/>
        <v>0.12</v>
      </c>
      <c r="H85" s="59"/>
      <c r="I85" s="60">
        <f t="shared" si="4"/>
        <v>2279000</v>
      </c>
      <c r="K85" s="61">
        <f t="shared" si="2"/>
        <v>3.1254625497345221</v>
      </c>
    </row>
    <row r="86" spans="4:11" ht="15" customHeight="1" outlineLevel="1">
      <c r="D86" s="55">
        <v>2033</v>
      </c>
      <c r="E86" s="56">
        <v>4300000</v>
      </c>
      <c r="F86" s="57">
        <f>E86*0.13</f>
        <v>559000</v>
      </c>
      <c r="G86" s="58">
        <f t="shared" si="3"/>
        <v>0.13</v>
      </c>
      <c r="H86" s="59"/>
      <c r="I86" s="60">
        <f t="shared" si="4"/>
        <v>2838000</v>
      </c>
      <c r="K86" s="61">
        <f t="shared" si="2"/>
        <v>3.8920854392920461</v>
      </c>
    </row>
    <row r="87" spans="4:11" ht="15" customHeight="1" outlineLevel="1">
      <c r="D87" s="55">
        <v>2034</v>
      </c>
      <c r="E87" s="56">
        <v>4300000</v>
      </c>
      <c r="F87" s="57">
        <f>E87*0.14</f>
        <v>602000</v>
      </c>
      <c r="G87" s="58">
        <f>IF(E87="","",F87/E87)</f>
        <v>0.14000000000000001</v>
      </c>
      <c r="H87" s="59"/>
      <c r="I87" s="60">
        <f>I86+F87-H87</f>
        <v>3440000</v>
      </c>
      <c r="K87" s="61">
        <f t="shared" si="2"/>
        <v>4.7176793203539953</v>
      </c>
    </row>
    <row r="88" spans="4:11" ht="15" customHeight="1" outlineLevel="1">
      <c r="D88" s="55">
        <v>2035</v>
      </c>
      <c r="E88" s="56">
        <v>4300000</v>
      </c>
      <c r="F88" s="57">
        <f>E88*0.15</f>
        <v>645000</v>
      </c>
      <c r="G88" s="58">
        <f>IF(E88="","",F88/E88)</f>
        <v>0.15</v>
      </c>
      <c r="H88" s="59"/>
      <c r="I88" s="60">
        <f>I87+F88-H88</f>
        <v>4085000</v>
      </c>
      <c r="K88" s="61">
        <f t="shared" si="2"/>
        <v>5.6022441929203692</v>
      </c>
    </row>
    <row r="89" spans="4:11" ht="15" customHeight="1" outlineLevel="1">
      <c r="D89" s="55">
        <v>2036</v>
      </c>
      <c r="E89" s="56">
        <v>4300000</v>
      </c>
      <c r="F89" s="57">
        <f t="shared" ref="F89:F93" si="5">E89*0.15</f>
        <v>645000</v>
      </c>
      <c r="G89" s="58">
        <f t="shared" si="3"/>
        <v>0.15</v>
      </c>
      <c r="H89" s="59"/>
      <c r="I89" s="60">
        <f t="shared" si="4"/>
        <v>4730000</v>
      </c>
      <c r="K89" s="61">
        <f t="shared" si="2"/>
        <v>6.4868090654867432</v>
      </c>
    </row>
    <row r="90" spans="4:11" ht="15" customHeight="1" outlineLevel="1">
      <c r="D90" s="55">
        <v>2037</v>
      </c>
      <c r="E90" s="56">
        <v>4300000</v>
      </c>
      <c r="F90" s="57">
        <f t="shared" si="5"/>
        <v>645000</v>
      </c>
      <c r="G90" s="58">
        <f t="shared" si="3"/>
        <v>0.15</v>
      </c>
      <c r="H90" s="59"/>
      <c r="I90" s="60">
        <f t="shared" si="4"/>
        <v>5375000</v>
      </c>
      <c r="K90" s="61">
        <f t="shared" si="2"/>
        <v>7.3713739380531171</v>
      </c>
    </row>
    <row r="91" spans="4:11" ht="15" customHeight="1" outlineLevel="1">
      <c r="D91" s="55">
        <v>2038</v>
      </c>
      <c r="E91" s="56">
        <v>4300000</v>
      </c>
      <c r="F91" s="57">
        <f t="shared" si="5"/>
        <v>645000</v>
      </c>
      <c r="G91" s="58">
        <f t="shared" si="3"/>
        <v>0.15</v>
      </c>
      <c r="H91" s="59"/>
      <c r="I91" s="60">
        <f t="shared" si="4"/>
        <v>6020000</v>
      </c>
      <c r="K91" s="61">
        <f t="shared" si="2"/>
        <v>8.255938810619492</v>
      </c>
    </row>
    <row r="92" spans="4:11" ht="15" customHeight="1" outlineLevel="1">
      <c r="D92" s="55">
        <v>2039</v>
      </c>
      <c r="E92" s="56">
        <v>4300000</v>
      </c>
      <c r="F92" s="57">
        <f t="shared" si="5"/>
        <v>645000</v>
      </c>
      <c r="G92" s="58">
        <f t="shared" si="3"/>
        <v>0.15</v>
      </c>
      <c r="H92" s="59"/>
      <c r="I92" s="60">
        <f t="shared" si="4"/>
        <v>6665000</v>
      </c>
      <c r="K92" s="61">
        <f t="shared" si="2"/>
        <v>9.1405036831858659</v>
      </c>
    </row>
    <row r="93" spans="4:11" ht="15" customHeight="1" outlineLevel="1" thickBot="1">
      <c r="D93" s="55">
        <v>2040</v>
      </c>
      <c r="E93" s="62">
        <v>4300000</v>
      </c>
      <c r="F93" s="63">
        <f t="shared" si="5"/>
        <v>645000</v>
      </c>
      <c r="G93" s="64">
        <f t="shared" si="3"/>
        <v>0.15</v>
      </c>
      <c r="H93" s="65"/>
      <c r="I93" s="66">
        <f>I92+F93-H93</f>
        <v>7310000</v>
      </c>
      <c r="K93" s="67">
        <f t="shared" si="2"/>
        <v>10.02506855575224</v>
      </c>
    </row>
    <row r="94" spans="4:11" ht="15" customHeight="1" outlineLevel="1">
      <c r="D94" s="68"/>
      <c r="E94" s="69"/>
      <c r="F94" s="70"/>
      <c r="G94" s="69"/>
      <c r="H94" s="69"/>
      <c r="I94" s="71" t="s">
        <v>63</v>
      </c>
      <c r="K94" s="72" t="s">
        <v>64</v>
      </c>
    </row>
    <row r="95" spans="4:11" ht="15" customHeight="1"/>
    <row r="96" spans="4:11" s="5" customFormat="1" ht="6" customHeight="1" outlineLevel="1"/>
    <row r="97" s="4" customFormat="1" ht="20.100000000000001" customHeight="1" outlineLevel="1"/>
    <row r="98" s="4" customFormat="1" ht="20.100000000000001" customHeight="1" outlineLevel="1"/>
    <row r="99" s="4" customFormat="1" ht="15" customHeight="1" outlineLevel="1"/>
    <row r="100" s="4" customFormat="1" ht="15" customHeight="1" outlineLevel="1"/>
    <row r="101" s="4" customFormat="1" ht="15" customHeight="1" outlineLevel="1"/>
    <row r="102" s="4" customFormat="1" ht="20.100000000000001" customHeight="1" outlineLevel="1"/>
    <row r="103" s="4" customFormat="1" ht="15" customHeight="1" outlineLevel="1"/>
    <row r="104" s="4" customFormat="1" ht="15" customHeight="1" outlineLevel="1"/>
    <row r="105" s="4" customFormat="1" ht="15" customHeight="1" outlineLevel="1"/>
    <row r="106" s="4" customFormat="1" ht="15" customHeight="1" outlineLevel="1"/>
    <row r="107" s="4" customFormat="1" ht="15" customHeight="1" outlineLevel="1"/>
    <row r="108" s="4" customFormat="1" ht="15" customHeight="1" outlineLevel="1"/>
    <row r="109" s="4" customFormat="1" ht="20.100000000000001" customHeight="1" outlineLevel="1"/>
    <row r="110" s="4" customFormat="1" ht="20.100000000000001" customHeight="1" outlineLevel="1"/>
    <row r="111" s="4" customFormat="1" ht="20.100000000000001" customHeight="1" outlineLevel="1"/>
    <row r="112" s="4" customFormat="1" ht="20.100000000000001" customHeight="1" outlineLevel="1"/>
    <row r="113" s="4" customFormat="1" ht="9.9499999999999993" customHeight="1" outlineLevel="1"/>
    <row r="114" s="4" customFormat="1" ht="52.5" customHeight="1" outlineLevel="1"/>
    <row r="115" s="4" customFormat="1" ht="15" customHeight="1" outlineLevel="1"/>
    <row r="116" s="4" customFormat="1" ht="20.100000000000001" customHeight="1" outlineLevel="1"/>
    <row r="117" s="4" customFormat="1" ht="30" customHeight="1" outlineLevel="1"/>
    <row r="118" s="4" customFormat="1" ht="399.95" customHeight="1" outlineLevel="1"/>
    <row r="119" s="5" customFormat="1" ht="15" customHeight="1" outlineLevel="1"/>
    <row r="120" s="5" customFormat="1" ht="15" customHeight="1" outlineLevel="1"/>
    <row r="121" s="5" customFormat="1" ht="15" customHeight="1" outlineLevel="1"/>
    <row r="122" s="5" customFormat="1" ht="15" customHeight="1" outlineLevel="1"/>
    <row r="123" s="5" customFormat="1" ht="15" customHeight="1" outlineLevel="1"/>
    <row r="124" s="5" customFormat="1" ht="45" customHeight="1" outlineLevel="1"/>
    <row r="125" s="5" customFormat="1" ht="15" customHeight="1" outlineLevel="1"/>
    <row r="126" s="5" customFormat="1" ht="15" customHeight="1" outlineLevel="1"/>
    <row r="127" s="5" customFormat="1" ht="15" customHeight="1" outlineLevel="1"/>
    <row r="128" s="5" customFormat="1" ht="15" customHeight="1" outlineLevel="1"/>
    <row r="129" s="5" customFormat="1" ht="15" customHeight="1" outlineLevel="1"/>
    <row r="130" s="5" customFormat="1" ht="15" customHeight="1" outlineLevel="1"/>
    <row r="131" s="5" customFormat="1" ht="15" customHeight="1" outlineLevel="1"/>
    <row r="132" s="5" customFormat="1" ht="45" customHeight="1" outlineLevel="1"/>
    <row r="133" s="5" customFormat="1" ht="15" customHeight="1" outlineLevel="1"/>
    <row r="134" s="5" customFormat="1" ht="15" customHeight="1" outlineLevel="1"/>
    <row r="135" s="5" customFormat="1" ht="15" customHeight="1" outlineLevel="1"/>
    <row r="136" s="5" customFormat="1" ht="15" customHeight="1" outlineLevel="1"/>
    <row r="137" s="5" customFormat="1" ht="15" customHeight="1" outlineLevel="1"/>
    <row r="138" s="5" customFormat="1" ht="15" customHeight="1" outlineLevel="1"/>
    <row r="139" s="5" customFormat="1" ht="15" customHeight="1" outlineLevel="1"/>
    <row r="140" s="4" customFormat="1" ht="6" customHeight="1" outlineLevel="1"/>
    <row r="141" s="4" customFormat="1" ht="6" customHeight="1" outlineLevel="1"/>
    <row r="142" s="4" customFormat="1" ht="20.100000000000001" customHeight="1" outlineLevel="1"/>
    <row r="143" s="4" customFormat="1" ht="20.100000000000001" customHeight="1" outlineLevel="1"/>
    <row r="144" s="4" customFormat="1" ht="30" customHeight="1" outlineLevel="1"/>
    <row r="145" s="4" customFormat="1" ht="399.95" customHeight="1" outlineLevel="1"/>
    <row r="146" s="4" customFormat="1" ht="15" customHeight="1" outlineLevel="1"/>
    <row r="147" s="4" customFormat="1" ht="45" customHeight="1" outlineLevel="1"/>
    <row r="148" s="4" customFormat="1" ht="15" customHeight="1" outlineLevel="1"/>
    <row r="149" s="4" customFormat="1" ht="20.100000000000001" customHeight="1" outlineLevel="1"/>
    <row r="150" s="4" customFormat="1" ht="20.100000000000001" customHeight="1" outlineLevel="1"/>
    <row r="151" s="4" customFormat="1" ht="33" customHeight="1" outlineLevel="1"/>
    <row r="152" s="4" customFormat="1" ht="30" customHeight="1" outlineLevel="1"/>
    <row r="153" s="4" customFormat="1" ht="15" customHeight="1" outlineLevel="1"/>
    <row r="154" s="4" customFormat="1" ht="15" customHeight="1" outlineLevel="1"/>
    <row r="155" s="4" customFormat="1" ht="15" customHeight="1" outlineLevel="1"/>
    <row r="156" s="4" customFormat="1" ht="15" customHeight="1" outlineLevel="1"/>
    <row r="157" s="4" customFormat="1" ht="15" customHeight="1" outlineLevel="1"/>
    <row r="158" s="4" customFormat="1" ht="15" customHeight="1" outlineLevel="1"/>
    <row r="159" s="4" customFormat="1" ht="15" customHeight="1" outlineLevel="1"/>
    <row r="160" s="4" customFormat="1" ht="15" customHeight="1" outlineLevel="1"/>
    <row r="161" spans="10:14" ht="15" customHeight="1" outlineLevel="1">
      <c r="J161" s="4"/>
      <c r="N161" s="4"/>
    </row>
    <row r="162" spans="10:14" ht="15" customHeight="1" outlineLevel="1">
      <c r="J162" s="4"/>
      <c r="N162" s="4"/>
    </row>
    <row r="163" spans="10:14" ht="15" customHeight="1" outlineLevel="1">
      <c r="J163" s="4"/>
      <c r="N163" s="4"/>
    </row>
    <row r="164" spans="10:14" ht="15" customHeight="1" outlineLevel="1">
      <c r="J164" s="4"/>
      <c r="N164" s="4"/>
    </row>
    <row r="165" spans="10:14" ht="15" customHeight="1" outlineLevel="1">
      <c r="J165" s="4"/>
      <c r="N165" s="4"/>
    </row>
    <row r="166" spans="10:14" ht="15" customHeight="1" outlineLevel="1">
      <c r="J166" s="4"/>
      <c r="N166" s="4"/>
    </row>
    <row r="167" spans="10:14" ht="15" customHeight="1" outlineLevel="1">
      <c r="J167" s="4"/>
      <c r="N167" s="4"/>
    </row>
    <row r="168" spans="10:14" ht="15" customHeight="1" outlineLevel="1">
      <c r="J168" s="4"/>
      <c r="N168" s="4"/>
    </row>
    <row r="169" spans="10:14" ht="15" customHeight="1" outlineLevel="1">
      <c r="J169" s="4"/>
      <c r="N169" s="4"/>
    </row>
    <row r="170" spans="10:14" ht="15" customHeight="1" outlineLevel="1">
      <c r="J170" s="4"/>
      <c r="N170" s="4"/>
    </row>
    <row r="171" spans="10:14" ht="15" customHeight="1"/>
    <row r="172" spans="10:14" s="5" customFormat="1" ht="6" customHeight="1" outlineLevel="1"/>
    <row r="173" spans="10:14" ht="20.100000000000001" customHeight="1" outlineLevel="1">
      <c r="J173" s="4"/>
      <c r="N173" s="4"/>
    </row>
    <row r="174" spans="10:14" ht="20.100000000000001" customHeight="1" outlineLevel="1">
      <c r="J174" s="4"/>
      <c r="N174" s="4"/>
    </row>
    <row r="175" spans="10:14" ht="15" customHeight="1" outlineLevel="1">
      <c r="J175" s="4"/>
      <c r="N175" s="4"/>
    </row>
    <row r="176" spans="10:14" ht="15" customHeight="1" outlineLevel="1">
      <c r="J176" s="4"/>
      <c r="N176" s="4"/>
    </row>
    <row r="177" s="4" customFormat="1" ht="15" customHeight="1" outlineLevel="1"/>
    <row r="178" s="4" customFormat="1" ht="20.100000000000001" customHeight="1" outlineLevel="1"/>
    <row r="179" s="4" customFormat="1" ht="15" customHeight="1" outlineLevel="1"/>
    <row r="180" s="4" customFormat="1" ht="15" customHeight="1" outlineLevel="1"/>
    <row r="181" s="4" customFormat="1" ht="15" customHeight="1" outlineLevel="1"/>
    <row r="182" s="4" customFormat="1" ht="15" customHeight="1" outlineLevel="1"/>
    <row r="183" s="4" customFormat="1" ht="15" customHeight="1" outlineLevel="1"/>
    <row r="184" s="4" customFormat="1" ht="15" customHeight="1" outlineLevel="1"/>
    <row r="185" s="4" customFormat="1" ht="20.100000000000001" customHeight="1" outlineLevel="1"/>
    <row r="186" s="4" customFormat="1" ht="12.75" customHeight="1" outlineLevel="1"/>
    <row r="187" s="4" customFormat="1" ht="20.100000000000001" customHeight="1" outlineLevel="1"/>
    <row r="188" s="4" customFormat="1" ht="20.100000000000001" customHeight="1" outlineLevel="1"/>
    <row r="189" s="4" customFormat="1" ht="9.9499999999999993" customHeight="1" outlineLevel="1"/>
    <row r="190" s="4" customFormat="1" ht="52.5" customHeight="1" outlineLevel="1"/>
    <row r="191" s="4" customFormat="1" ht="15" customHeight="1" outlineLevel="1"/>
    <row r="192" s="4" customFormat="1" ht="20.100000000000001" customHeight="1" outlineLevel="1"/>
    <row r="193" s="4" customFormat="1" ht="30" customHeight="1" outlineLevel="1"/>
    <row r="194" s="4" customFormat="1" ht="399.95" customHeight="1" outlineLevel="1"/>
    <row r="195" s="5" customFormat="1" ht="15" customHeight="1" outlineLevel="1"/>
    <row r="196" s="5" customFormat="1" ht="15" customHeight="1" outlineLevel="1"/>
    <row r="197" s="5" customFormat="1" ht="15" customHeight="1" outlineLevel="1"/>
    <row r="198" s="5" customFormat="1" ht="15" customHeight="1" outlineLevel="1"/>
    <row r="199" s="5" customFormat="1" ht="15" customHeight="1" outlineLevel="1"/>
    <row r="200" s="5" customFormat="1" ht="45" customHeight="1" outlineLevel="1"/>
    <row r="201" s="5" customFormat="1" ht="15" customHeight="1" outlineLevel="1"/>
    <row r="202" s="5" customFormat="1" ht="15" customHeight="1" outlineLevel="1"/>
    <row r="203" s="5" customFormat="1" ht="15" customHeight="1" outlineLevel="1"/>
    <row r="204" s="5" customFormat="1" ht="15" customHeight="1" outlineLevel="1"/>
    <row r="205" s="5" customFormat="1" ht="15" customHeight="1" outlineLevel="1"/>
    <row r="206" s="5" customFormat="1" ht="15" customHeight="1" outlineLevel="1"/>
    <row r="207" s="5" customFormat="1" ht="15" customHeight="1" outlineLevel="1"/>
    <row r="208" s="5" customFormat="1" ht="45" customHeight="1" outlineLevel="1"/>
    <row r="209" s="5" customFormat="1" ht="15" customHeight="1" outlineLevel="1"/>
    <row r="210" s="5" customFormat="1" ht="15" customHeight="1" outlineLevel="1"/>
    <row r="211" s="5" customFormat="1" ht="15" customHeight="1" outlineLevel="1"/>
    <row r="212" s="5" customFormat="1" ht="15" customHeight="1" outlineLevel="1"/>
    <row r="213" s="5" customFormat="1" ht="15" customHeight="1" outlineLevel="1"/>
    <row r="214" s="5" customFormat="1" ht="15" customHeight="1" outlineLevel="1"/>
    <row r="215" s="5" customFormat="1" ht="15" customHeight="1" outlineLevel="1"/>
    <row r="216" s="4" customFormat="1" ht="6" customHeight="1" outlineLevel="1"/>
    <row r="217" s="4" customFormat="1" ht="6" customHeight="1" outlineLevel="1"/>
    <row r="218" s="4" customFormat="1" ht="20.100000000000001" customHeight="1" outlineLevel="1"/>
    <row r="219" s="4" customFormat="1" ht="20.100000000000001" customHeight="1" outlineLevel="1"/>
    <row r="220" s="4" customFormat="1" ht="30" customHeight="1" outlineLevel="1"/>
    <row r="221" s="4" customFormat="1" ht="399.95" customHeight="1" outlineLevel="1"/>
    <row r="222" s="4" customFormat="1" ht="15" customHeight="1" outlineLevel="1"/>
    <row r="223" s="4" customFormat="1" ht="45" customHeight="1" outlineLevel="1"/>
    <row r="224" s="4" customFormat="1" ht="15" customHeight="1" outlineLevel="1"/>
    <row r="225" s="4" customFormat="1" ht="20.100000000000001" customHeight="1" outlineLevel="1"/>
    <row r="226" s="4" customFormat="1" ht="20.100000000000001" customHeight="1" outlineLevel="1"/>
    <row r="227" s="4" customFormat="1" ht="33" customHeight="1" outlineLevel="1"/>
    <row r="228" s="4" customFormat="1" ht="30" customHeight="1" outlineLevel="1"/>
    <row r="229" s="4" customFormat="1" ht="15" customHeight="1" outlineLevel="1"/>
    <row r="230" s="4" customFormat="1" ht="15" customHeight="1" outlineLevel="1"/>
    <row r="231" s="4" customFormat="1" ht="15" customHeight="1" outlineLevel="1"/>
    <row r="232" s="4" customFormat="1" ht="15" customHeight="1" outlineLevel="1"/>
    <row r="233" s="4" customFormat="1" ht="15" customHeight="1" outlineLevel="1"/>
    <row r="234" s="4" customFormat="1" ht="15" customHeight="1" outlineLevel="1"/>
    <row r="235" s="4" customFormat="1" ht="15" customHeight="1" outlineLevel="1"/>
    <row r="236" s="4" customFormat="1" ht="15" customHeight="1" outlineLevel="1"/>
    <row r="237" s="4" customFormat="1" ht="15" customHeight="1" outlineLevel="1"/>
    <row r="238" s="4" customFormat="1" ht="15" customHeight="1" outlineLevel="1"/>
    <row r="239" s="4" customFormat="1" ht="15" customHeight="1" outlineLevel="1"/>
    <row r="240" s="4" customFormat="1" ht="15" customHeight="1" outlineLevel="1"/>
    <row r="241" spans="10:14" ht="15" customHeight="1" outlineLevel="1">
      <c r="J241" s="4"/>
      <c r="N241" s="4"/>
    </row>
    <row r="242" spans="10:14" ht="15" customHeight="1" outlineLevel="1">
      <c r="J242" s="4"/>
      <c r="N242" s="4"/>
    </row>
    <row r="243" spans="10:14" ht="15" customHeight="1" outlineLevel="1">
      <c r="J243" s="4"/>
      <c r="N243" s="4"/>
    </row>
    <row r="244" spans="10:14" ht="15" customHeight="1" outlineLevel="1">
      <c r="J244" s="4"/>
      <c r="N244" s="4"/>
    </row>
    <row r="245" spans="10:14" ht="15" customHeight="1" outlineLevel="1">
      <c r="J245" s="4"/>
      <c r="N245" s="4"/>
    </row>
    <row r="246" spans="10:14" ht="15" customHeight="1" outlineLevel="1">
      <c r="J246" s="4"/>
      <c r="N246" s="4"/>
    </row>
    <row r="247" spans="10:14" ht="15" customHeight="1"/>
    <row r="248" spans="10:14" ht="6" customHeight="1" outlineLevel="1">
      <c r="J248" s="4"/>
      <c r="N248" s="4"/>
    </row>
    <row r="249" spans="10:14" ht="20.100000000000001" customHeight="1" outlineLevel="1">
      <c r="J249" s="4"/>
      <c r="N249" s="4"/>
    </row>
    <row r="250" spans="10:14" ht="20.100000000000001" customHeight="1" outlineLevel="1">
      <c r="J250" s="4"/>
      <c r="N250" s="4"/>
    </row>
    <row r="251" spans="10:14" ht="15" customHeight="1" outlineLevel="1">
      <c r="J251" s="4"/>
      <c r="N251" s="4"/>
    </row>
    <row r="252" spans="10:14" ht="15" customHeight="1" outlineLevel="1">
      <c r="J252" s="4"/>
      <c r="N252" s="4"/>
    </row>
    <row r="253" spans="10:14" ht="15" customHeight="1" outlineLevel="1">
      <c r="J253" s="4"/>
      <c r="N253" s="4"/>
    </row>
    <row r="254" spans="10:14" ht="20.100000000000001" customHeight="1" outlineLevel="1">
      <c r="J254" s="4"/>
      <c r="N254" s="4"/>
    </row>
    <row r="255" spans="10:14" ht="15" customHeight="1" outlineLevel="1">
      <c r="J255" s="4"/>
      <c r="N255" s="4"/>
    </row>
    <row r="256" spans="10:14" ht="15" customHeight="1" outlineLevel="1">
      <c r="J256" s="4"/>
      <c r="N256" s="4"/>
    </row>
    <row r="257" s="4" customFormat="1" ht="20.100000000000001" customHeight="1" outlineLevel="1"/>
    <row r="258" s="4" customFormat="1" ht="20.100000000000001" customHeight="1" outlineLevel="1"/>
    <row r="259" s="4" customFormat="1" ht="20.100000000000001" customHeight="1" outlineLevel="1"/>
    <row r="260" s="4" customFormat="1" ht="20.100000000000001" customHeight="1" outlineLevel="1"/>
    <row r="261" s="4" customFormat="1" ht="9.9499999999999993" customHeight="1" outlineLevel="1"/>
    <row r="262" s="4" customFormat="1" ht="52.5" customHeight="1" outlineLevel="1"/>
    <row r="263" s="4" customFormat="1" ht="15" customHeight="1" outlineLevel="1"/>
    <row r="264" s="4" customFormat="1" ht="20.100000000000001" customHeight="1" outlineLevel="1"/>
    <row r="265" s="73" customFormat="1" ht="30" customHeight="1" outlineLevel="1"/>
    <row r="266" s="73" customFormat="1" ht="399.95" customHeight="1" outlineLevel="1"/>
    <row r="267" s="73" customFormat="1" ht="13.5" outlineLevel="1"/>
    <row r="268" s="73" customFormat="1" ht="13.5" outlineLevel="1"/>
    <row r="269" s="73" customFormat="1" ht="13.5" outlineLevel="1"/>
    <row r="270" s="73" customFormat="1" ht="13.5" outlineLevel="1"/>
    <row r="271" s="73" customFormat="1" ht="13.5" outlineLevel="1"/>
    <row r="272" s="73" customFormat="1" ht="90" customHeight="1" outlineLevel="1"/>
    <row r="273" s="73" customFormat="1" ht="13.5" outlineLevel="1"/>
    <row r="274" s="73" customFormat="1" ht="13.5" outlineLevel="1"/>
    <row r="275" s="73" customFormat="1" ht="90" customHeight="1" outlineLevel="1"/>
    <row r="276" s="73" customFormat="1" ht="13.5" outlineLevel="1"/>
    <row r="277" s="73" customFormat="1" ht="13.5" outlineLevel="1"/>
    <row r="278" s="73" customFormat="1" ht="13.5" outlineLevel="1"/>
    <row r="279" s="73" customFormat="1" ht="20.100000000000001" customHeight="1" outlineLevel="1"/>
    <row r="280" s="73" customFormat="1" ht="20.100000000000001" customHeight="1" outlineLevel="1"/>
    <row r="281" s="73" customFormat="1" ht="30" customHeight="1" outlineLevel="1"/>
    <row r="282" s="73" customFormat="1" ht="399.95" customHeight="1" outlineLevel="1"/>
    <row r="283" s="73" customFormat="1" ht="15" customHeight="1" outlineLevel="1"/>
    <row r="284" s="73" customFormat="1" ht="45" customHeight="1" outlineLevel="1"/>
    <row r="285" s="73" customFormat="1" ht="15" customHeight="1" outlineLevel="1"/>
    <row r="286" s="73" customFormat="1" ht="20.100000000000001" customHeight="1" outlineLevel="1"/>
    <row r="287" s="73" customFormat="1" ht="20.100000000000001" customHeight="1" outlineLevel="1"/>
    <row r="288" s="73" customFormat="1" ht="33" customHeight="1" outlineLevel="1"/>
    <row r="289" s="73" customFormat="1" ht="30" customHeight="1" outlineLevel="1"/>
    <row r="290" s="73" customFormat="1" ht="15" customHeight="1" outlineLevel="1"/>
    <row r="291" s="73" customFormat="1" ht="15" customHeight="1" outlineLevel="1"/>
    <row r="292" s="73" customFormat="1" ht="15" customHeight="1" outlineLevel="1"/>
    <row r="293" s="73" customFormat="1" ht="15" customHeight="1" outlineLevel="1"/>
    <row r="294" s="73" customFormat="1" ht="15" customHeight="1" outlineLevel="1"/>
    <row r="295" s="73" customFormat="1" ht="15" customHeight="1" outlineLevel="1"/>
    <row r="296" s="73" customFormat="1" ht="15" customHeight="1" outlineLevel="1"/>
    <row r="297" s="73" customFormat="1" ht="15" customHeight="1" outlineLevel="1"/>
    <row r="298" s="73" customFormat="1" ht="15" customHeight="1" outlineLevel="1"/>
    <row r="299" s="73" customFormat="1" ht="15" customHeight="1" outlineLevel="1"/>
    <row r="300" s="73" customFormat="1" ht="15" customHeight="1" outlineLevel="1"/>
    <row r="301" s="73" customFormat="1" ht="15" customHeight="1" outlineLevel="1"/>
    <row r="302" s="73" customFormat="1" ht="15" customHeight="1" outlineLevel="1"/>
    <row r="303" s="73" customFormat="1" ht="15" customHeight="1" outlineLevel="1"/>
    <row r="304" s="73" customFormat="1" ht="15" customHeight="1" outlineLevel="1"/>
    <row r="305" s="73" customFormat="1" ht="15" customHeight="1" outlineLevel="1"/>
    <row r="306" s="73" customFormat="1" ht="15" customHeight="1" outlineLevel="1"/>
    <row r="307" s="73" customFormat="1" ht="15" customHeight="1" outlineLevel="1"/>
    <row r="308" ht="15" customHeight="1"/>
  </sheetData>
  <mergeCells count="28">
    <mergeCell ref="G61:H61"/>
    <mergeCell ref="F63:G63"/>
    <mergeCell ref="D68:K68"/>
    <mergeCell ref="D69:K69"/>
    <mergeCell ref="D71:E71"/>
    <mergeCell ref="F71:K71"/>
    <mergeCell ref="D75:D76"/>
    <mergeCell ref="F75:G75"/>
    <mergeCell ref="H75:H76"/>
    <mergeCell ref="I75:I76"/>
    <mergeCell ref="K75:K76"/>
    <mergeCell ref="G59:H59"/>
    <mergeCell ref="F23:H23"/>
    <mergeCell ref="F26:G26"/>
    <mergeCell ref="F33:G33"/>
    <mergeCell ref="F36:G36"/>
    <mergeCell ref="F38:K38"/>
    <mergeCell ref="D41:K41"/>
    <mergeCell ref="D42:K42"/>
    <mergeCell ref="F48:K48"/>
    <mergeCell ref="G51:H51"/>
    <mergeCell ref="G53:H53"/>
    <mergeCell ref="F56:K56"/>
    <mergeCell ref="B5:K5"/>
    <mergeCell ref="F11:H11"/>
    <mergeCell ref="F13:H13"/>
    <mergeCell ref="C16:K16"/>
    <mergeCell ref="C17:K18"/>
  </mergeCells>
  <phoneticPr fontId="2"/>
  <dataValidations count="1">
    <dataValidation type="list" allowBlank="1" showInputMessage="1" showErrorMessage="1" sqref="H32" xr:uid="{18137AA1-1932-4FDC-806E-A71662FED792}">
      <formula1>$D$77:$D$93</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2" manualBreakCount="2">
    <brk id="19" max="16383" man="1"/>
    <brk id="6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5B4B-CA0E-4FA2-B957-50057EC9D530}">
  <dimension ref="A1"/>
  <sheetViews>
    <sheetView zoomScaleNormal="100" workbookViewId="0"/>
  </sheetViews>
  <sheetFormatPr defaultRowHeight="18.75"/>
  <sheetData>
    <row r="1" spans="1:1">
      <c r="A1" t="s">
        <v>127</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C9372-6492-4339-89EF-6B01535DAD81}">
  <sheetPr>
    <pageSetUpPr fitToPage="1"/>
  </sheetPr>
  <dimension ref="A1:U308"/>
  <sheetViews>
    <sheetView zoomScaleNormal="100" workbookViewId="0"/>
  </sheetViews>
  <sheetFormatPr defaultRowHeight="18.75" outlineLevelRow="1"/>
  <cols>
    <col min="1" max="1" width="1.625" style="4" customWidth="1"/>
    <col min="2" max="3" width="4.25" style="4" customWidth="1"/>
    <col min="4" max="4" width="9" style="4"/>
    <col min="5" max="9" width="17.625" style="4" customWidth="1"/>
    <col min="10" max="10" width="1.625" style="16" customWidth="1"/>
    <col min="11" max="11" width="22.625" style="4" customWidth="1"/>
    <col min="12" max="12" width="1.625" style="4" customWidth="1"/>
    <col min="13" max="13" width="2.625" style="4" customWidth="1"/>
    <col min="14" max="14" width="8.625" style="9" customWidth="1"/>
    <col min="15" max="17" width="8.625" style="4" customWidth="1"/>
    <col min="18" max="25" width="8.125" style="4" customWidth="1"/>
    <col min="26" max="16384" width="9" style="4"/>
  </cols>
  <sheetData>
    <row r="1" spans="2:14" ht="5.25" customHeight="1" thickBot="1">
      <c r="B1" s="1"/>
      <c r="C1" s="1"/>
      <c r="D1" s="1"/>
      <c r="E1" s="1"/>
      <c r="F1" s="1"/>
      <c r="G1" s="1"/>
      <c r="H1" s="1"/>
      <c r="I1" s="1"/>
      <c r="J1" s="2"/>
      <c r="K1" s="1"/>
      <c r="L1" s="1"/>
      <c r="M1" s="1"/>
      <c r="N1" s="3"/>
    </row>
    <row r="2" spans="2:14" ht="15" customHeight="1" thickBot="1">
      <c r="B2" s="1"/>
      <c r="C2" s="1"/>
      <c r="E2" s="5"/>
      <c r="F2" s="3"/>
      <c r="G2" s="6"/>
      <c r="H2" s="1"/>
      <c r="J2" s="7" t="s">
        <v>0</v>
      </c>
      <c r="K2" s="8"/>
      <c r="L2" s="1"/>
      <c r="M2" s="1"/>
      <c r="N2" s="3"/>
    </row>
    <row r="3" spans="2:14" ht="15" customHeight="1">
      <c r="B3" s="1"/>
      <c r="C3" s="1"/>
      <c r="D3" s="9"/>
      <c r="E3" s="5"/>
      <c r="F3" s="6"/>
      <c r="H3" s="1"/>
      <c r="J3" s="2"/>
      <c r="K3" s="7" t="s">
        <v>123</v>
      </c>
      <c r="L3" s="1"/>
      <c r="M3" s="1"/>
      <c r="N3" s="10"/>
    </row>
    <row r="4" spans="2:14" s="5" customFormat="1" ht="15" customHeight="1">
      <c r="B4" s="11" t="s">
        <v>1</v>
      </c>
      <c r="C4" s="6"/>
      <c r="D4" s="6"/>
      <c r="E4" s="10"/>
      <c r="F4" s="6"/>
      <c r="G4" s="6"/>
      <c r="J4" s="12"/>
      <c r="K4" s="6"/>
      <c r="L4" s="6"/>
      <c r="M4" s="13"/>
      <c r="N4" s="3"/>
    </row>
    <row r="5" spans="2:14" ht="20.100000000000001" customHeight="1">
      <c r="B5" s="97" t="s">
        <v>2</v>
      </c>
      <c r="C5" s="97"/>
      <c r="D5" s="97"/>
      <c r="E5" s="97"/>
      <c r="F5" s="97"/>
      <c r="G5" s="97"/>
      <c r="H5" s="97"/>
      <c r="I5" s="97"/>
      <c r="J5" s="97"/>
      <c r="K5" s="97"/>
      <c r="L5" s="1"/>
      <c r="M5" s="14"/>
      <c r="N5" s="3"/>
    </row>
    <row r="6" spans="2:14" ht="20.100000000000001" customHeight="1" thickBot="1">
      <c r="B6" s="15" t="s">
        <v>3</v>
      </c>
      <c r="H6" s="1"/>
      <c r="I6" s="1"/>
    </row>
    <row r="7" spans="2:14" s="5" customFormat="1" ht="15" customHeight="1" thickBot="1">
      <c r="B7" s="17"/>
      <c r="C7" s="5" t="s">
        <v>4</v>
      </c>
      <c r="E7" s="5" t="s">
        <v>5</v>
      </c>
      <c r="G7" s="18" t="s">
        <v>6</v>
      </c>
      <c r="H7" s="6"/>
      <c r="I7" s="6"/>
      <c r="J7" s="19"/>
      <c r="N7" s="9"/>
    </row>
    <row r="8" spans="2:14" s="5" customFormat="1" ht="15" customHeight="1" thickBot="1">
      <c r="B8" s="17"/>
      <c r="E8" s="5" t="s">
        <v>7</v>
      </c>
      <c r="G8" s="18" t="s">
        <v>8</v>
      </c>
      <c r="H8" s="6"/>
      <c r="I8" s="6"/>
      <c r="J8" s="19"/>
      <c r="N8" s="9"/>
    </row>
    <row r="9" spans="2:14" s="5" customFormat="1" ht="15" customHeight="1" thickBot="1">
      <c r="B9" s="17"/>
      <c r="E9" s="5" t="s">
        <v>9</v>
      </c>
      <c r="G9" s="18" t="s">
        <v>10</v>
      </c>
      <c r="H9" s="6"/>
      <c r="I9" s="6"/>
      <c r="J9" s="19"/>
      <c r="N9" s="9"/>
    </row>
    <row r="10" spans="2:14" s="5" customFormat="1" ht="15" customHeight="1" thickBot="1">
      <c r="C10" s="5" t="s">
        <v>11</v>
      </c>
      <c r="J10" s="19"/>
      <c r="N10" s="9"/>
    </row>
    <row r="11" spans="2:14" ht="30" customHeight="1" thickTop="1" thickBot="1">
      <c r="D11" s="5" t="s">
        <v>12</v>
      </c>
      <c r="E11" s="5"/>
      <c r="F11" s="98" t="e">
        <f>F26+#REF!+#REF!+#REF!</f>
        <v>#REF!</v>
      </c>
      <c r="G11" s="99"/>
      <c r="H11" s="100"/>
      <c r="I11" s="4" t="s">
        <v>13</v>
      </c>
    </row>
    <row r="12" spans="2:14" ht="15" customHeight="1" thickTop="1" thickBot="1">
      <c r="C12" s="5" t="s">
        <v>14</v>
      </c>
      <c r="D12" s="5"/>
      <c r="E12" s="5"/>
      <c r="F12" s="5"/>
      <c r="G12" s="5"/>
      <c r="H12" s="5"/>
    </row>
    <row r="13" spans="2:14" ht="20.100000000000001" customHeight="1" thickTop="1" thickBot="1">
      <c r="D13" s="5" t="s">
        <v>12</v>
      </c>
      <c r="E13" s="5"/>
      <c r="F13" s="101" t="e">
        <f>IF(F36+#REF!+#REF!+#REF!=0,"-",F36+#REF!+#REF!+#REF!)</f>
        <v>#REF!</v>
      </c>
      <c r="G13" s="102"/>
      <c r="H13" s="103"/>
      <c r="I13" s="4" t="s">
        <v>13</v>
      </c>
    </row>
    <row r="14" spans="2:14" ht="15" customHeight="1" thickTop="1">
      <c r="C14" s="20"/>
      <c r="D14" s="5"/>
      <c r="E14" s="5"/>
      <c r="F14" s="21" t="e">
        <f>IF(F11&gt;=100,"エラー：過大の可能性がある値が記載されておりますので今一度ご確認ください。","")</f>
        <v>#REF!</v>
      </c>
      <c r="G14" s="22"/>
    </row>
    <row r="15" spans="2:14" ht="399.95" customHeight="1">
      <c r="D15" s="23"/>
    </row>
    <row r="16" spans="2:14" s="5" customFormat="1" ht="15" customHeight="1" thickBot="1">
      <c r="C16" s="104" t="s">
        <v>15</v>
      </c>
      <c r="D16" s="104"/>
      <c r="E16" s="104"/>
      <c r="F16" s="104"/>
      <c r="G16" s="104"/>
      <c r="H16" s="104"/>
      <c r="I16" s="104"/>
      <c r="J16" s="104"/>
      <c r="K16" s="104"/>
      <c r="M16" s="9"/>
      <c r="N16" s="9"/>
    </row>
    <row r="17" spans="2:21" s="5" customFormat="1" ht="150" customHeight="1">
      <c r="C17" s="162" t="s">
        <v>139</v>
      </c>
      <c r="D17" s="163"/>
      <c r="E17" s="163"/>
      <c r="F17" s="163"/>
      <c r="G17" s="163"/>
      <c r="H17" s="163"/>
      <c r="I17" s="163"/>
      <c r="J17" s="163"/>
      <c r="K17" s="164"/>
      <c r="M17" s="93"/>
      <c r="N17" s="93"/>
      <c r="O17" s="93"/>
      <c r="P17" s="93"/>
      <c r="Q17" s="93"/>
      <c r="R17" s="93"/>
      <c r="S17" s="24"/>
    </row>
    <row r="18" spans="2:21" s="5" customFormat="1" ht="150" customHeight="1" thickBot="1">
      <c r="C18" s="165"/>
      <c r="D18" s="166"/>
      <c r="E18" s="166"/>
      <c r="F18" s="166"/>
      <c r="G18" s="166"/>
      <c r="H18" s="166"/>
      <c r="I18" s="166"/>
      <c r="J18" s="166"/>
      <c r="K18" s="167"/>
      <c r="M18" s="93"/>
      <c r="N18" s="93"/>
      <c r="O18" s="93"/>
      <c r="P18" s="93"/>
      <c r="Q18" s="93"/>
      <c r="R18" s="93"/>
    </row>
    <row r="19" spans="2:21" s="5" customFormat="1" ht="6" customHeight="1">
      <c r="D19" s="25"/>
      <c r="J19" s="19"/>
      <c r="M19" s="83"/>
      <c r="N19" s="84"/>
      <c r="O19" s="83"/>
      <c r="P19" s="83"/>
      <c r="Q19" s="83"/>
      <c r="R19" s="83"/>
      <c r="S19" s="83"/>
      <c r="T19" s="83"/>
      <c r="U19" s="83"/>
    </row>
    <row r="20" spans="2:21" s="5" customFormat="1" ht="6" customHeight="1" outlineLevel="1">
      <c r="D20" s="25"/>
      <c r="J20" s="19"/>
      <c r="M20" s="83"/>
      <c r="N20" s="84"/>
      <c r="O20" s="85"/>
      <c r="P20" s="85"/>
      <c r="Q20" s="85"/>
      <c r="R20" s="85"/>
      <c r="S20" s="85"/>
      <c r="T20" s="85"/>
      <c r="U20" s="86"/>
    </row>
    <row r="21" spans="2:21" ht="20.100000000000001" customHeight="1" outlineLevel="1">
      <c r="B21" s="26" t="s">
        <v>16</v>
      </c>
      <c r="C21" s="20"/>
      <c r="D21" s="27"/>
      <c r="K21" s="7"/>
      <c r="M21" s="87"/>
      <c r="N21" s="84" t="s">
        <v>115</v>
      </c>
      <c r="O21" s="85"/>
      <c r="P21" s="85"/>
      <c r="Q21" s="85"/>
      <c r="R21" s="85"/>
      <c r="S21" s="85"/>
      <c r="T21" s="85"/>
      <c r="U21" s="83"/>
    </row>
    <row r="22" spans="2:21" ht="20.100000000000001" customHeight="1" outlineLevel="1" thickBot="1">
      <c r="B22" s="28" t="s">
        <v>17</v>
      </c>
      <c r="H22" s="1"/>
      <c r="K22" s="7" t="s">
        <v>123</v>
      </c>
      <c r="M22" s="87"/>
      <c r="N22" s="84"/>
      <c r="O22" s="84"/>
      <c r="P22" s="87" t="s">
        <v>116</v>
      </c>
      <c r="Q22" s="87" t="s">
        <v>117</v>
      </c>
      <c r="R22" s="87" t="s">
        <v>118</v>
      </c>
      <c r="S22" s="87" t="s">
        <v>119</v>
      </c>
      <c r="T22" s="87"/>
      <c r="U22" s="87"/>
    </row>
    <row r="23" spans="2:21" ht="15" customHeight="1" outlineLevel="1" thickBot="1">
      <c r="B23" s="28"/>
      <c r="C23" s="5" t="s">
        <v>18</v>
      </c>
      <c r="D23" s="5"/>
      <c r="E23" s="5"/>
      <c r="F23" s="113" t="s">
        <v>83</v>
      </c>
      <c r="G23" s="114"/>
      <c r="H23" s="115"/>
      <c r="I23" s="1"/>
      <c r="M23" s="87"/>
      <c r="N23" s="84"/>
      <c r="O23" s="88"/>
      <c r="P23" s="89" t="str">
        <f>IF(F23="","",F23)</f>
        <v>商業施設の空調</v>
      </c>
      <c r="Q23" s="89" t="e">
        <f>IF(#REF!="","",#REF!)</f>
        <v>#REF!</v>
      </c>
      <c r="R23" s="89" t="e">
        <f>IF(#REF!="","",#REF!)</f>
        <v>#REF!</v>
      </c>
      <c r="S23" s="89" t="e">
        <f>IF(#REF!="","",#REF!)</f>
        <v>#REF!</v>
      </c>
      <c r="T23" s="90" t="s">
        <v>120</v>
      </c>
      <c r="U23" s="87"/>
    </row>
    <row r="24" spans="2:21" ht="15" customHeight="1" outlineLevel="1">
      <c r="B24" s="28"/>
      <c r="C24" s="5"/>
      <c r="D24" s="5"/>
      <c r="E24" s="6"/>
      <c r="F24" s="6"/>
      <c r="G24" s="6"/>
      <c r="H24" s="6"/>
      <c r="I24" s="1"/>
      <c r="M24" s="87"/>
      <c r="N24" s="84"/>
      <c r="O24" s="91">
        <v>2024</v>
      </c>
      <c r="P24" s="92">
        <f t="shared" ref="P24:P40" si="0">K77</f>
        <v>0</v>
      </c>
      <c r="Q24" s="92" t="e">
        <f>#REF!</f>
        <v>#REF!</v>
      </c>
      <c r="R24" s="92" t="e">
        <f>#REF!</f>
        <v>#REF!</v>
      </c>
      <c r="S24" s="92" t="e">
        <f>#REF!</f>
        <v>#REF!</v>
      </c>
      <c r="T24" s="90" t="e">
        <f>SUM(P24:S24)</f>
        <v>#REF!</v>
      </c>
      <c r="U24" s="87"/>
    </row>
    <row r="25" spans="2:21" ht="15" customHeight="1" outlineLevel="1" thickBot="1">
      <c r="C25" s="5" t="s">
        <v>11</v>
      </c>
      <c r="D25" s="5"/>
      <c r="E25" s="5"/>
      <c r="F25" s="5"/>
      <c r="G25" s="5"/>
      <c r="H25" s="5"/>
      <c r="I25" s="1"/>
      <c r="M25" s="87"/>
      <c r="N25" s="84"/>
      <c r="O25" s="91">
        <v>2025</v>
      </c>
      <c r="P25" s="92">
        <f t="shared" si="0"/>
        <v>7.5642958080000031E-2</v>
      </c>
      <c r="Q25" s="92" t="e">
        <f>#REF!</f>
        <v>#REF!</v>
      </c>
      <c r="R25" s="92" t="e">
        <f>#REF!</f>
        <v>#REF!</v>
      </c>
      <c r="S25" s="92" t="e">
        <f>#REF!</f>
        <v>#REF!</v>
      </c>
      <c r="T25" s="90" t="e">
        <f t="shared" ref="T25:T40" si="1">SUM(P25:S25)</f>
        <v>#REF!</v>
      </c>
      <c r="U25" s="87"/>
    </row>
    <row r="26" spans="2:21" ht="20.100000000000001" customHeight="1" outlineLevel="1" thickBot="1">
      <c r="C26" s="5"/>
      <c r="D26" s="5" t="s">
        <v>12</v>
      </c>
      <c r="E26" s="5"/>
      <c r="F26" s="116">
        <f>F63*I93/10000</f>
        <v>12.934945831680006</v>
      </c>
      <c r="G26" s="117"/>
      <c r="H26" s="29" t="s">
        <v>13</v>
      </c>
      <c r="I26" s="1"/>
      <c r="M26" s="87"/>
      <c r="N26" s="84"/>
      <c r="O26" s="91">
        <v>2026</v>
      </c>
      <c r="P26" s="92">
        <f t="shared" si="0"/>
        <v>0.32778615168000008</v>
      </c>
      <c r="Q26" s="92" t="e">
        <f>#REF!</f>
        <v>#REF!</v>
      </c>
      <c r="R26" s="92" t="e">
        <f>#REF!</f>
        <v>#REF!</v>
      </c>
      <c r="S26" s="92" t="e">
        <f>#REF!</f>
        <v>#REF!</v>
      </c>
      <c r="T26" s="90" t="e">
        <f t="shared" si="1"/>
        <v>#REF!</v>
      </c>
      <c r="U26" s="87"/>
    </row>
    <row r="27" spans="2:21" ht="15" customHeight="1" outlineLevel="1">
      <c r="C27" s="5"/>
      <c r="D27" s="5"/>
      <c r="E27" s="5" t="s">
        <v>20</v>
      </c>
      <c r="F27" s="30"/>
      <c r="G27" s="30"/>
      <c r="H27" s="5"/>
      <c r="I27" s="1"/>
      <c r="M27" s="87"/>
      <c r="N27" s="84"/>
      <c r="O27" s="91">
        <v>2027</v>
      </c>
      <c r="P27" s="92">
        <f t="shared" si="0"/>
        <v>0.7060009420800003</v>
      </c>
      <c r="Q27" s="92" t="e">
        <f>#REF!</f>
        <v>#REF!</v>
      </c>
      <c r="R27" s="92" t="e">
        <f>#REF!</f>
        <v>#REF!</v>
      </c>
      <c r="S27" s="92" t="e">
        <f>#REF!</f>
        <v>#REF!</v>
      </c>
      <c r="T27" s="90" t="e">
        <f t="shared" si="1"/>
        <v>#REF!</v>
      </c>
      <c r="U27" s="87"/>
    </row>
    <row r="28" spans="2:21" ht="15" customHeight="1" outlineLevel="1">
      <c r="C28" s="5"/>
      <c r="D28" s="5"/>
      <c r="E28" s="31"/>
      <c r="F28" s="5" t="s">
        <v>12</v>
      </c>
      <c r="G28" s="32">
        <f>SUM(G51,G53)*I93/10000</f>
        <v>64.674729158400012</v>
      </c>
      <c r="H28" s="29" t="s">
        <v>13</v>
      </c>
      <c r="I28" s="1"/>
      <c r="M28" s="87"/>
      <c r="N28" s="84"/>
      <c r="O28" s="91">
        <v>2028</v>
      </c>
      <c r="P28" s="92">
        <f t="shared" si="0"/>
        <v>1.2102873292800005</v>
      </c>
      <c r="Q28" s="92" t="e">
        <f>#REF!</f>
        <v>#REF!</v>
      </c>
      <c r="R28" s="92" t="e">
        <f>#REF!</f>
        <v>#REF!</v>
      </c>
      <c r="S28" s="92" t="e">
        <f>#REF!</f>
        <v>#REF!</v>
      </c>
      <c r="T28" s="90" t="e">
        <f t="shared" si="1"/>
        <v>#REF!</v>
      </c>
      <c r="U28" s="87"/>
    </row>
    <row r="29" spans="2:21" ht="15" customHeight="1" outlineLevel="1">
      <c r="C29" s="5"/>
      <c r="D29" s="5"/>
      <c r="E29" s="5" t="s">
        <v>21</v>
      </c>
      <c r="F29" s="5"/>
      <c r="G29" s="30"/>
      <c r="H29" s="5"/>
      <c r="I29" s="1"/>
      <c r="M29" s="87"/>
      <c r="N29" s="84"/>
      <c r="O29" s="91">
        <v>2029</v>
      </c>
      <c r="P29" s="92">
        <f t="shared" si="0"/>
        <v>1.8406453132800009</v>
      </c>
      <c r="Q29" s="92" t="e">
        <f>#REF!</f>
        <v>#REF!</v>
      </c>
      <c r="R29" s="92" t="e">
        <f>#REF!</f>
        <v>#REF!</v>
      </c>
      <c r="S29" s="92" t="e">
        <f>#REF!</f>
        <v>#REF!</v>
      </c>
      <c r="T29" s="90" t="e">
        <f t="shared" si="1"/>
        <v>#REF!</v>
      </c>
      <c r="U29" s="87"/>
    </row>
    <row r="30" spans="2:21" ht="15" customHeight="1" outlineLevel="1">
      <c r="C30" s="5"/>
      <c r="D30" s="31"/>
      <c r="E30" s="5"/>
      <c r="F30" s="5" t="s">
        <v>12</v>
      </c>
      <c r="G30" s="32">
        <f>SUM(G59,G61)*I93/10000</f>
        <v>51.739783326720001</v>
      </c>
      <c r="H30" s="29" t="s">
        <v>13</v>
      </c>
      <c r="I30" s="1"/>
      <c r="M30" s="87"/>
      <c r="N30" s="84"/>
      <c r="O30" s="91">
        <v>2030</v>
      </c>
      <c r="P30" s="92">
        <f t="shared" si="0"/>
        <v>2.5970748940800013</v>
      </c>
      <c r="Q30" s="92" t="e">
        <f>#REF!</f>
        <v>#REF!</v>
      </c>
      <c r="R30" s="92" t="e">
        <f>#REF!</f>
        <v>#REF!</v>
      </c>
      <c r="S30" s="92" t="e">
        <f>#REF!</f>
        <v>#REF!</v>
      </c>
      <c r="T30" s="90" t="e">
        <f t="shared" si="1"/>
        <v>#REF!</v>
      </c>
      <c r="U30" s="87"/>
    </row>
    <row r="31" spans="2:21" ht="15" customHeight="1" outlineLevel="1" thickBot="1">
      <c r="C31" s="31"/>
      <c r="D31" s="5"/>
      <c r="E31" s="5"/>
      <c r="F31" s="30"/>
      <c r="G31" s="30"/>
      <c r="H31" s="5"/>
      <c r="I31" s="1"/>
      <c r="M31" s="87"/>
      <c r="N31" s="84"/>
      <c r="O31" s="91">
        <v>2031</v>
      </c>
      <c r="P31" s="92">
        <f t="shared" si="0"/>
        <v>3.4039331136000017</v>
      </c>
      <c r="Q31" s="92" t="e">
        <f>#REF!</f>
        <v>#REF!</v>
      </c>
      <c r="R31" s="92" t="e">
        <f>#REF!</f>
        <v>#REF!</v>
      </c>
      <c r="S31" s="92" t="e">
        <f>#REF!</f>
        <v>#REF!</v>
      </c>
      <c r="T31" s="90" t="e">
        <f t="shared" si="1"/>
        <v>#REF!</v>
      </c>
      <c r="U31" s="87"/>
    </row>
    <row r="32" spans="2:21" ht="15" customHeight="1" outlineLevel="1" thickBot="1">
      <c r="C32" s="33" t="s">
        <v>22</v>
      </c>
      <c r="D32" s="31"/>
      <c r="E32" s="5"/>
      <c r="F32" s="5"/>
      <c r="G32" s="33" t="s">
        <v>23</v>
      </c>
      <c r="H32" s="34">
        <v>2025</v>
      </c>
      <c r="I32" s="4" t="s">
        <v>24</v>
      </c>
      <c r="M32" s="87"/>
      <c r="N32" s="84"/>
      <c r="O32" s="91">
        <v>2032</v>
      </c>
      <c r="P32" s="92">
        <f t="shared" si="0"/>
        <v>4.261219971840001</v>
      </c>
      <c r="Q32" s="92" t="e">
        <f>#REF!</f>
        <v>#REF!</v>
      </c>
      <c r="R32" s="92" t="e">
        <f>#REF!</f>
        <v>#REF!</v>
      </c>
      <c r="S32" s="92" t="e">
        <f>#REF!</f>
        <v>#REF!</v>
      </c>
      <c r="T32" s="90" t="e">
        <f t="shared" si="1"/>
        <v>#REF!</v>
      </c>
      <c r="U32" s="87"/>
    </row>
    <row r="33" spans="1:21" ht="20.100000000000001" customHeight="1" outlineLevel="1" thickBot="1">
      <c r="C33" s="31"/>
      <c r="D33" s="33" t="s">
        <v>12</v>
      </c>
      <c r="E33" s="5"/>
      <c r="F33" s="116">
        <f>F63*VLOOKUP(H32+3,D77:I93,6,FALSE)/10000</f>
        <v>1.2102873292800005</v>
      </c>
      <c r="G33" s="117"/>
      <c r="H33" s="29" t="s">
        <v>13</v>
      </c>
      <c r="M33" s="87"/>
      <c r="N33" s="84"/>
      <c r="O33" s="91">
        <v>2033</v>
      </c>
      <c r="P33" s="92">
        <f t="shared" si="0"/>
        <v>5.1689354688000018</v>
      </c>
      <c r="Q33" s="92" t="e">
        <f>#REF!</f>
        <v>#REF!</v>
      </c>
      <c r="R33" s="92" t="e">
        <f>#REF!</f>
        <v>#REF!</v>
      </c>
      <c r="S33" s="92" t="e">
        <f>#REF!</f>
        <v>#REF!</v>
      </c>
      <c r="T33" s="90" t="e">
        <f t="shared" si="1"/>
        <v>#REF!</v>
      </c>
      <c r="U33" s="87"/>
    </row>
    <row r="34" spans="1:21" ht="20.100000000000001" customHeight="1" outlineLevel="1">
      <c r="C34" s="31"/>
      <c r="D34" s="33"/>
      <c r="E34" s="5"/>
      <c r="F34" s="35"/>
      <c r="G34" s="35"/>
      <c r="H34" s="5"/>
      <c r="M34" s="87"/>
      <c r="N34" s="84"/>
      <c r="O34" s="91">
        <v>2034</v>
      </c>
      <c r="P34" s="92">
        <f t="shared" si="0"/>
        <v>6.1270796044800022</v>
      </c>
      <c r="Q34" s="92" t="e">
        <f>#REF!</f>
        <v>#REF!</v>
      </c>
      <c r="R34" s="92" t="e">
        <f>#REF!</f>
        <v>#REF!</v>
      </c>
      <c r="S34" s="92" t="e">
        <f>#REF!</f>
        <v>#REF!</v>
      </c>
      <c r="T34" s="90" t="e">
        <f t="shared" si="1"/>
        <v>#REF!</v>
      </c>
      <c r="U34" s="87"/>
    </row>
    <row r="35" spans="1:21" ht="20.100000000000001" customHeight="1" outlineLevel="1" thickBot="1">
      <c r="C35" s="5" t="s">
        <v>25</v>
      </c>
      <c r="D35" s="5"/>
      <c r="E35" s="5"/>
      <c r="F35" s="5"/>
      <c r="G35" s="5"/>
      <c r="H35" s="5"/>
      <c r="M35" s="87"/>
      <c r="N35" s="84"/>
      <c r="O35" s="91">
        <v>2035</v>
      </c>
      <c r="P35" s="92">
        <f t="shared" si="0"/>
        <v>7.1356523788800024</v>
      </c>
      <c r="Q35" s="92" t="e">
        <f>#REF!</f>
        <v>#REF!</v>
      </c>
      <c r="R35" s="92" t="e">
        <f>#REF!</f>
        <v>#REF!</v>
      </c>
      <c r="S35" s="92" t="e">
        <f>#REF!</f>
        <v>#REF!</v>
      </c>
      <c r="T35" s="90" t="e">
        <f t="shared" si="1"/>
        <v>#REF!</v>
      </c>
      <c r="U35" s="87"/>
    </row>
    <row r="36" spans="1:21" ht="20.100000000000001" customHeight="1" outlineLevel="1" thickBot="1">
      <c r="C36" s="5"/>
      <c r="D36" s="5" t="s">
        <v>12</v>
      </c>
      <c r="E36" s="5"/>
      <c r="F36" s="118">
        <v>0</v>
      </c>
      <c r="G36" s="119"/>
      <c r="H36" s="5" t="s">
        <v>13</v>
      </c>
      <c r="M36" s="87"/>
      <c r="N36" s="84"/>
      <c r="O36" s="91">
        <v>2036</v>
      </c>
      <c r="P36" s="92">
        <f t="shared" si="0"/>
        <v>8.194653792000004</v>
      </c>
      <c r="Q36" s="92" t="e">
        <f>#REF!</f>
        <v>#REF!</v>
      </c>
      <c r="R36" s="92" t="e">
        <f>#REF!</f>
        <v>#REF!</v>
      </c>
      <c r="S36" s="92" t="e">
        <f>#REF!</f>
        <v>#REF!</v>
      </c>
      <c r="T36" s="90" t="e">
        <f t="shared" si="1"/>
        <v>#REF!</v>
      </c>
      <c r="U36" s="87"/>
    </row>
    <row r="37" spans="1:21" ht="9.9499999999999993" customHeight="1" outlineLevel="1" thickBot="1">
      <c r="C37" s="5"/>
      <c r="D37" s="5"/>
      <c r="E37" s="5"/>
      <c r="F37" s="5"/>
      <c r="G37" s="5"/>
      <c r="H37" s="5"/>
      <c r="M37" s="87"/>
      <c r="N37" s="84"/>
      <c r="O37" s="91">
        <v>2037</v>
      </c>
      <c r="P37" s="92">
        <f t="shared" si="0"/>
        <v>9.3040838438400044</v>
      </c>
      <c r="Q37" s="92" t="e">
        <f>#REF!</f>
        <v>#REF!</v>
      </c>
      <c r="R37" s="92" t="e">
        <f>#REF!</f>
        <v>#REF!</v>
      </c>
      <c r="S37" s="92" t="e">
        <f>#REF!</f>
        <v>#REF!</v>
      </c>
      <c r="T37" s="90" t="e">
        <f t="shared" si="1"/>
        <v>#REF!</v>
      </c>
      <c r="U37" s="87"/>
    </row>
    <row r="38" spans="1:21" ht="52.5" customHeight="1" outlineLevel="1" thickBot="1">
      <c r="C38" s="31"/>
      <c r="D38" s="33" t="s">
        <v>26</v>
      </c>
      <c r="E38" s="5"/>
      <c r="F38" s="120" t="s">
        <v>84</v>
      </c>
      <c r="G38" s="121"/>
      <c r="H38" s="121"/>
      <c r="I38" s="121"/>
      <c r="J38" s="121"/>
      <c r="K38" s="122"/>
      <c r="M38" s="87"/>
      <c r="N38" s="84"/>
      <c r="O38" s="91">
        <v>2038</v>
      </c>
      <c r="P38" s="92">
        <f t="shared" si="0"/>
        <v>10.463942534400003</v>
      </c>
      <c r="Q38" s="92" t="e">
        <f>#REF!</f>
        <v>#REF!</v>
      </c>
      <c r="R38" s="92" t="e">
        <f>#REF!</f>
        <v>#REF!</v>
      </c>
      <c r="S38" s="92" t="e">
        <f>#REF!</f>
        <v>#REF!</v>
      </c>
      <c r="T38" s="90" t="e">
        <f t="shared" si="1"/>
        <v>#REF!</v>
      </c>
      <c r="U38" s="87"/>
    </row>
    <row r="39" spans="1:21" ht="15" customHeight="1" outlineLevel="1">
      <c r="D39" s="23"/>
      <c r="M39" s="87"/>
      <c r="N39" s="84"/>
      <c r="O39" s="91">
        <v>2039</v>
      </c>
      <c r="P39" s="92">
        <f t="shared" si="0"/>
        <v>11.674229863680004</v>
      </c>
      <c r="Q39" s="92" t="e">
        <f>#REF!</f>
        <v>#REF!</v>
      </c>
      <c r="R39" s="92" t="e">
        <f>#REF!</f>
        <v>#REF!</v>
      </c>
      <c r="S39" s="92" t="e">
        <f>#REF!</f>
        <v>#REF!</v>
      </c>
      <c r="T39" s="90" t="e">
        <f t="shared" si="1"/>
        <v>#REF!</v>
      </c>
      <c r="U39" s="87"/>
    </row>
    <row r="40" spans="1:21" ht="20.100000000000001" customHeight="1" outlineLevel="1">
      <c r="B40" s="28" t="s">
        <v>27</v>
      </c>
      <c r="M40" s="87"/>
      <c r="N40" s="84"/>
      <c r="O40" s="91">
        <v>2040</v>
      </c>
      <c r="P40" s="92">
        <f t="shared" si="0"/>
        <v>12.934945831680006</v>
      </c>
      <c r="Q40" s="92" t="e">
        <f>#REF!</f>
        <v>#REF!</v>
      </c>
      <c r="R40" s="92" t="e">
        <f>#REF!</f>
        <v>#REF!</v>
      </c>
      <c r="S40" s="92" t="e">
        <f>#REF!</f>
        <v>#REF!</v>
      </c>
      <c r="T40" s="90" t="e">
        <f t="shared" si="1"/>
        <v>#REF!</v>
      </c>
      <c r="U40" s="87"/>
    </row>
    <row r="41" spans="1:21" ht="30" customHeight="1" outlineLevel="1" thickBot="1">
      <c r="B41" s="28"/>
      <c r="D41" s="123" t="s">
        <v>28</v>
      </c>
      <c r="E41" s="123"/>
      <c r="F41" s="123"/>
      <c r="G41" s="123"/>
      <c r="H41" s="123"/>
      <c r="I41" s="123"/>
      <c r="J41" s="123"/>
      <c r="K41" s="123"/>
      <c r="M41" s="87"/>
      <c r="N41" s="84"/>
      <c r="O41" s="87"/>
      <c r="P41" s="87"/>
      <c r="Q41" s="87"/>
      <c r="R41" s="87"/>
      <c r="S41" s="87"/>
      <c r="T41" s="87"/>
      <c r="U41" s="87"/>
    </row>
    <row r="42" spans="1:21" ht="399.75" customHeight="1" outlineLevel="1" thickBot="1">
      <c r="D42" s="170" t="s">
        <v>106</v>
      </c>
      <c r="E42" s="171"/>
      <c r="F42" s="171"/>
      <c r="G42" s="171"/>
      <c r="H42" s="171"/>
      <c r="I42" s="171"/>
      <c r="J42" s="171"/>
      <c r="K42" s="172"/>
      <c r="M42" s="87"/>
      <c r="N42" s="84"/>
      <c r="O42" s="87"/>
      <c r="P42" s="87"/>
      <c r="Q42" s="87"/>
      <c r="R42" s="87"/>
      <c r="S42" s="87"/>
      <c r="T42" s="87"/>
      <c r="U42" s="87"/>
    </row>
    <row r="43" spans="1:21" s="5" customFormat="1" ht="15" customHeight="1" outlineLevel="1">
      <c r="A43" s="4"/>
      <c r="M43" s="83"/>
      <c r="N43" s="84"/>
      <c r="O43" s="83" t="s">
        <v>29</v>
      </c>
      <c r="P43" s="83"/>
      <c r="Q43" s="83"/>
      <c r="R43" s="83"/>
      <c r="S43" s="83"/>
      <c r="T43" s="83"/>
      <c r="U43" s="83"/>
    </row>
    <row r="44" spans="1:21" s="5" customFormat="1" ht="15" customHeight="1" outlineLevel="1">
      <c r="A44" s="4"/>
      <c r="E44" s="5" t="s">
        <v>29</v>
      </c>
      <c r="F44" s="5" t="s">
        <v>30</v>
      </c>
      <c r="H44" s="36">
        <f>$Q$44</f>
        <v>8.64</v>
      </c>
      <c r="I44" s="5" t="s">
        <v>31</v>
      </c>
      <c r="M44" s="83"/>
      <c r="N44" s="83"/>
      <c r="O44" s="83" t="s">
        <v>30</v>
      </c>
      <c r="P44" s="83"/>
      <c r="Q44" s="94">
        <v>8.64</v>
      </c>
      <c r="R44" s="83" t="s">
        <v>31</v>
      </c>
      <c r="S44" s="83"/>
      <c r="T44" s="83"/>
      <c r="U44" s="83"/>
    </row>
    <row r="45" spans="1:21" s="5" customFormat="1" ht="15" customHeight="1" outlineLevel="1">
      <c r="A45" s="4"/>
      <c r="F45" s="5" t="s">
        <v>32</v>
      </c>
      <c r="H45" s="36">
        <f>$Q$45</f>
        <v>2.58</v>
      </c>
      <c r="I45" s="5" t="s">
        <v>33</v>
      </c>
      <c r="M45" s="83"/>
      <c r="N45" s="83"/>
      <c r="O45" s="83" t="s">
        <v>32</v>
      </c>
      <c r="P45" s="83"/>
      <c r="Q45" s="95">
        <v>2.58</v>
      </c>
      <c r="R45" s="83" t="s">
        <v>33</v>
      </c>
      <c r="S45" s="83"/>
      <c r="T45" s="83"/>
      <c r="U45" s="83"/>
    </row>
    <row r="46" spans="1:21" s="5" customFormat="1" ht="15" customHeight="1" outlineLevel="1">
      <c r="A46" s="4"/>
      <c r="G46" s="19"/>
      <c r="H46" s="19"/>
      <c r="J46" s="19"/>
      <c r="N46" s="9"/>
    </row>
    <row r="47" spans="1:21" s="5" customFormat="1" ht="15" customHeight="1" outlineLevel="1" thickBot="1">
      <c r="D47" s="5" t="s">
        <v>34</v>
      </c>
      <c r="J47" s="19"/>
      <c r="N47" s="9"/>
    </row>
    <row r="48" spans="1:21" s="5" customFormat="1" ht="45" customHeight="1" outlineLevel="1" thickBot="1">
      <c r="E48" s="37" t="s">
        <v>35</v>
      </c>
      <c r="F48" s="127" t="s">
        <v>85</v>
      </c>
      <c r="G48" s="128"/>
      <c r="H48" s="128"/>
      <c r="I48" s="128"/>
      <c r="J48" s="128"/>
      <c r="K48" s="129"/>
      <c r="N48" s="9"/>
    </row>
    <row r="49" spans="4:16" s="5" customFormat="1" ht="15" customHeight="1" outlineLevel="1" thickBot="1">
      <c r="J49" s="19"/>
      <c r="N49" s="9"/>
    </row>
    <row r="50" spans="4:16" s="5" customFormat="1" ht="15" customHeight="1" outlineLevel="1" thickBot="1">
      <c r="D50" s="38"/>
      <c r="E50" s="5" t="s">
        <v>37</v>
      </c>
      <c r="F50" s="42"/>
      <c r="G50" s="5" t="s">
        <v>38</v>
      </c>
      <c r="J50" s="19"/>
      <c r="N50" s="9"/>
    </row>
    <row r="51" spans="4:16" s="5" customFormat="1" ht="15" customHeight="1" outlineLevel="1" thickBot="1">
      <c r="D51" s="40"/>
      <c r="F51" s="9"/>
      <c r="G51" s="130">
        <f>+F50*H44*H45/100000</f>
        <v>0</v>
      </c>
      <c r="H51" s="131"/>
      <c r="I51" s="5" t="s">
        <v>39</v>
      </c>
      <c r="J51" s="41" t="s">
        <v>40</v>
      </c>
      <c r="K51" s="38"/>
      <c r="L51" s="38"/>
      <c r="N51" s="9"/>
    </row>
    <row r="52" spans="4:16" s="5" customFormat="1" ht="15" customHeight="1" outlineLevel="1" thickBot="1">
      <c r="D52" s="38"/>
      <c r="E52" s="5" t="s">
        <v>41</v>
      </c>
      <c r="F52" s="79">
        <f>3572*0.4</f>
        <v>1428.8000000000002</v>
      </c>
      <c r="G52" s="5" t="s">
        <v>42</v>
      </c>
      <c r="J52" s="41"/>
      <c r="K52" s="38"/>
      <c r="L52" s="38"/>
      <c r="N52" s="9"/>
    </row>
    <row r="53" spans="4:16" s="5" customFormat="1" ht="15" customHeight="1" outlineLevel="1">
      <c r="D53" s="40"/>
      <c r="G53" s="111">
        <f>+F52*H45/100000</f>
        <v>3.6863040000000007E-2</v>
      </c>
      <c r="H53" s="112"/>
      <c r="I53" s="5" t="s">
        <v>39</v>
      </c>
      <c r="J53" s="41" t="s">
        <v>40</v>
      </c>
      <c r="K53" s="38"/>
      <c r="L53" s="38"/>
      <c r="N53" s="9"/>
    </row>
    <row r="54" spans="4:16" s="5" customFormat="1" ht="15" customHeight="1" outlineLevel="1">
      <c r="J54" s="19"/>
      <c r="N54" s="9"/>
    </row>
    <row r="55" spans="4:16" s="5" customFormat="1" ht="15" customHeight="1" outlineLevel="1" thickBot="1">
      <c r="D55" s="5" t="s">
        <v>43</v>
      </c>
      <c r="J55" s="19"/>
      <c r="N55" s="9"/>
    </row>
    <row r="56" spans="4:16" s="5" customFormat="1" ht="45" customHeight="1" outlineLevel="1" thickBot="1">
      <c r="E56" s="37" t="s">
        <v>44</v>
      </c>
      <c r="F56" s="127" t="s">
        <v>86</v>
      </c>
      <c r="G56" s="128"/>
      <c r="H56" s="128"/>
      <c r="I56" s="128"/>
      <c r="J56" s="128"/>
      <c r="K56" s="129"/>
      <c r="N56" s="9"/>
    </row>
    <row r="57" spans="4:16" s="5" customFormat="1" ht="15" customHeight="1" outlineLevel="1" thickBot="1">
      <c r="J57" s="19"/>
      <c r="N57" s="9"/>
    </row>
    <row r="58" spans="4:16" s="5" customFormat="1" ht="15" customHeight="1" outlineLevel="1" thickBot="1">
      <c r="D58" s="38"/>
      <c r="E58" s="5" t="s">
        <v>37</v>
      </c>
      <c r="F58" s="42"/>
      <c r="G58" s="43" t="s">
        <v>38</v>
      </c>
      <c r="H58" s="43"/>
      <c r="J58" s="19"/>
      <c r="N58" s="9"/>
    </row>
    <row r="59" spans="4:16" s="5" customFormat="1" ht="15" customHeight="1" outlineLevel="1" thickBot="1">
      <c r="D59" s="40"/>
      <c r="F59" s="9"/>
      <c r="G59" s="111">
        <f>+F58*H44*H45/100000</f>
        <v>0</v>
      </c>
      <c r="H59" s="112"/>
      <c r="I59" s="5" t="s">
        <v>39</v>
      </c>
      <c r="J59" s="19" t="s">
        <v>46</v>
      </c>
      <c r="K59" s="40"/>
      <c r="L59" s="40"/>
      <c r="N59" s="9"/>
    </row>
    <row r="60" spans="4:16" s="5" customFormat="1" ht="15" customHeight="1" outlineLevel="1" thickBot="1">
      <c r="D60" s="38"/>
      <c r="E60" s="5" t="s">
        <v>41</v>
      </c>
      <c r="F60" s="80">
        <f>F52*0.8</f>
        <v>1143.0400000000002</v>
      </c>
      <c r="G60" s="5" t="s">
        <v>42</v>
      </c>
      <c r="J60" s="19"/>
      <c r="N60" s="9"/>
    </row>
    <row r="61" spans="4:16" s="5" customFormat="1" ht="15" customHeight="1" outlineLevel="1">
      <c r="D61" s="40"/>
      <c r="G61" s="111">
        <f>+F60*H45/100000</f>
        <v>2.9490432000000004E-2</v>
      </c>
      <c r="H61" s="112"/>
      <c r="I61" s="5" t="s">
        <v>39</v>
      </c>
      <c r="J61" s="19" t="s">
        <v>46</v>
      </c>
      <c r="K61" s="40"/>
      <c r="L61" s="40"/>
      <c r="N61" s="9"/>
    </row>
    <row r="62" spans="4:16" s="5" customFormat="1" ht="15" customHeight="1" outlineLevel="1" thickBot="1">
      <c r="J62" s="19"/>
      <c r="N62" s="9"/>
    </row>
    <row r="63" spans="4:16" s="5" customFormat="1" ht="15" customHeight="1" outlineLevel="1" thickBot="1">
      <c r="D63" s="5" t="s">
        <v>47</v>
      </c>
      <c r="E63" s="5" t="s">
        <v>48</v>
      </c>
      <c r="F63" s="152">
        <f>SUM(G51,G53)-SUM(G59,G61)</f>
        <v>7.3726080000000027E-3</v>
      </c>
      <c r="G63" s="153"/>
      <c r="H63" s="5" t="s">
        <v>39</v>
      </c>
      <c r="J63" s="19"/>
      <c r="N63" s="9"/>
      <c r="P63" s="45"/>
    </row>
    <row r="64" spans="4:16" ht="6" customHeight="1" outlineLevel="1">
      <c r="F64" s="46"/>
      <c r="G64" s="46"/>
    </row>
    <row r="65" spans="2:11" ht="6" customHeight="1" outlineLevel="1">
      <c r="F65" s="46"/>
      <c r="G65" s="46"/>
    </row>
    <row r="66" spans="2:11" ht="20.100000000000001" customHeight="1" outlineLevel="1">
      <c r="F66" s="46"/>
      <c r="G66" s="46"/>
      <c r="K66" s="7"/>
    </row>
    <row r="67" spans="2:11" ht="20.100000000000001" customHeight="1" outlineLevel="1">
      <c r="B67" s="47" t="s">
        <v>49</v>
      </c>
      <c r="K67" s="7" t="s">
        <v>123</v>
      </c>
    </row>
    <row r="68" spans="2:11" ht="30" customHeight="1" outlineLevel="1" thickBot="1">
      <c r="B68" s="28"/>
      <c r="D68" s="134" t="s">
        <v>28</v>
      </c>
      <c r="E68" s="134"/>
      <c r="F68" s="134"/>
      <c r="G68" s="134"/>
      <c r="H68" s="134"/>
      <c r="I68" s="134"/>
      <c r="J68" s="134"/>
      <c r="K68" s="134"/>
    </row>
    <row r="69" spans="2:11" ht="399.95" customHeight="1" outlineLevel="1" thickBot="1">
      <c r="D69" s="170" t="s">
        <v>107</v>
      </c>
      <c r="E69" s="171"/>
      <c r="F69" s="171"/>
      <c r="G69" s="171"/>
      <c r="H69" s="171"/>
      <c r="I69" s="171"/>
      <c r="J69" s="171"/>
      <c r="K69" s="172"/>
    </row>
    <row r="70" spans="2:11" ht="15" customHeight="1" outlineLevel="1" thickBot="1">
      <c r="D70" s="48"/>
      <c r="E70" s="48"/>
      <c r="F70" s="48"/>
      <c r="G70" s="48"/>
      <c r="H70" s="48"/>
      <c r="I70" s="48"/>
    </row>
    <row r="71" spans="2:11" ht="45" customHeight="1" outlineLevel="1" thickBot="1">
      <c r="D71" s="138" t="s">
        <v>50</v>
      </c>
      <c r="E71" s="139"/>
      <c r="F71" s="140" t="s">
        <v>87</v>
      </c>
      <c r="G71" s="141"/>
      <c r="H71" s="141"/>
      <c r="I71" s="141"/>
      <c r="J71" s="141"/>
      <c r="K71" s="142"/>
    </row>
    <row r="72" spans="2:11" ht="15" customHeight="1" outlineLevel="1">
      <c r="D72" s="48"/>
      <c r="E72" s="48"/>
      <c r="F72" s="48"/>
      <c r="G72" s="48"/>
      <c r="H72" s="48"/>
      <c r="I72" s="48"/>
    </row>
    <row r="73" spans="2:11" ht="20.100000000000001" customHeight="1" outlineLevel="1">
      <c r="D73" s="48"/>
      <c r="E73" s="48"/>
      <c r="F73" s="48"/>
      <c r="G73" s="48"/>
      <c r="H73" s="48"/>
      <c r="I73" s="48"/>
      <c r="J73" s="49" t="s">
        <v>52</v>
      </c>
    </row>
    <row r="74" spans="2:11" ht="20.100000000000001" customHeight="1" outlineLevel="1" thickBot="1">
      <c r="D74" s="4" t="s">
        <v>53</v>
      </c>
      <c r="K74" s="50" t="s">
        <v>2</v>
      </c>
    </row>
    <row r="75" spans="2:11" ht="33" customHeight="1" outlineLevel="1" thickBot="1">
      <c r="D75" s="143" t="s">
        <v>54</v>
      </c>
      <c r="E75" s="51" t="s">
        <v>55</v>
      </c>
      <c r="F75" s="145" t="s">
        <v>56</v>
      </c>
      <c r="G75" s="145"/>
      <c r="H75" s="146" t="s">
        <v>57</v>
      </c>
      <c r="I75" s="148" t="s">
        <v>58</v>
      </c>
      <c r="K75" s="150" t="s">
        <v>59</v>
      </c>
    </row>
    <row r="76" spans="2:11" ht="30" customHeight="1" outlineLevel="1">
      <c r="D76" s="144"/>
      <c r="E76" s="52" t="s">
        <v>60</v>
      </c>
      <c r="F76" s="53" t="s">
        <v>61</v>
      </c>
      <c r="G76" s="54" t="s">
        <v>62</v>
      </c>
      <c r="H76" s="147"/>
      <c r="I76" s="149"/>
      <c r="K76" s="151"/>
    </row>
    <row r="77" spans="2:11" ht="15" customHeight="1" outlineLevel="1">
      <c r="D77" s="55">
        <v>2024</v>
      </c>
      <c r="E77" s="56">
        <v>11400000</v>
      </c>
      <c r="F77" s="57">
        <v>0</v>
      </c>
      <c r="G77" s="74">
        <f>IF(E77="","",F77/E77)</f>
        <v>0</v>
      </c>
      <c r="H77" s="59"/>
      <c r="I77" s="60">
        <f>F77-H77</f>
        <v>0</v>
      </c>
      <c r="K77" s="61">
        <f t="shared" ref="K77:K93" si="2">I77*F$63/10000</f>
        <v>0</v>
      </c>
    </row>
    <row r="78" spans="2:11" ht="15" customHeight="1" outlineLevel="1">
      <c r="D78" s="55">
        <v>2025</v>
      </c>
      <c r="E78" s="56">
        <v>11400000</v>
      </c>
      <c r="F78" s="57">
        <f>E78*0.3*0.03</f>
        <v>102600</v>
      </c>
      <c r="G78" s="74">
        <f t="shared" ref="G78:G93" si="3">IF(E78="","",F78/E78)</f>
        <v>8.9999999999999993E-3</v>
      </c>
      <c r="H78" s="59"/>
      <c r="I78" s="60">
        <f>I77+F78-H78</f>
        <v>102600</v>
      </c>
      <c r="K78" s="61">
        <f t="shared" si="2"/>
        <v>7.5642958080000031E-2</v>
      </c>
    </row>
    <row r="79" spans="2:11" ht="15" customHeight="1" outlineLevel="1">
      <c r="D79" s="55">
        <v>2026</v>
      </c>
      <c r="E79" s="56">
        <v>11400000</v>
      </c>
      <c r="F79" s="57">
        <f>E79*0.3*0.1</f>
        <v>342000</v>
      </c>
      <c r="G79" s="74">
        <f t="shared" si="3"/>
        <v>0.03</v>
      </c>
      <c r="H79" s="59"/>
      <c r="I79" s="60">
        <f t="shared" ref="I79:I92" si="4">I78+F79-H79</f>
        <v>444600</v>
      </c>
      <c r="K79" s="61">
        <f t="shared" si="2"/>
        <v>0.32778615168000008</v>
      </c>
    </row>
    <row r="80" spans="2:11" ht="15" customHeight="1" outlineLevel="1">
      <c r="D80" s="55">
        <v>2027</v>
      </c>
      <c r="E80" s="56">
        <v>11400000</v>
      </c>
      <c r="F80" s="57">
        <f>E80*0.3*0.15</f>
        <v>513000</v>
      </c>
      <c r="G80" s="74">
        <f t="shared" si="3"/>
        <v>4.4999999999999998E-2</v>
      </c>
      <c r="H80" s="59"/>
      <c r="I80" s="60">
        <f t="shared" si="4"/>
        <v>957600</v>
      </c>
      <c r="K80" s="61">
        <f t="shared" si="2"/>
        <v>0.7060009420800003</v>
      </c>
    </row>
    <row r="81" spans="4:11" ht="15" customHeight="1" outlineLevel="1">
      <c r="D81" s="55">
        <v>2028</v>
      </c>
      <c r="E81" s="56">
        <v>11400000</v>
      </c>
      <c r="F81" s="57">
        <f>E81*0.3*0.2</f>
        <v>684000</v>
      </c>
      <c r="G81" s="74">
        <f t="shared" si="3"/>
        <v>0.06</v>
      </c>
      <c r="H81" s="59"/>
      <c r="I81" s="60">
        <f t="shared" si="4"/>
        <v>1641600</v>
      </c>
      <c r="K81" s="61">
        <f t="shared" si="2"/>
        <v>1.2102873292800005</v>
      </c>
    </row>
    <row r="82" spans="4:11" ht="15" customHeight="1" outlineLevel="1">
      <c r="D82" s="55">
        <v>2029</v>
      </c>
      <c r="E82" s="56">
        <v>11400000</v>
      </c>
      <c r="F82" s="57">
        <f>E82*0.3*0.25</f>
        <v>855000</v>
      </c>
      <c r="G82" s="74">
        <f t="shared" si="3"/>
        <v>7.4999999999999997E-2</v>
      </c>
      <c r="H82" s="59"/>
      <c r="I82" s="60">
        <f t="shared" si="4"/>
        <v>2496600</v>
      </c>
      <c r="K82" s="61">
        <f t="shared" si="2"/>
        <v>1.8406453132800009</v>
      </c>
    </row>
    <row r="83" spans="4:11" ht="15" customHeight="1" outlineLevel="1">
      <c r="D83" s="55">
        <v>2030</v>
      </c>
      <c r="E83" s="56">
        <v>11400000</v>
      </c>
      <c r="F83" s="57">
        <f>E83*0.3*0.3</f>
        <v>1026000</v>
      </c>
      <c r="G83" s="74">
        <f t="shared" si="3"/>
        <v>0.09</v>
      </c>
      <c r="H83" s="59"/>
      <c r="I83" s="60">
        <f t="shared" si="4"/>
        <v>3522600</v>
      </c>
      <c r="K83" s="61">
        <f t="shared" si="2"/>
        <v>2.5970748940800013</v>
      </c>
    </row>
    <row r="84" spans="4:11" ht="15" customHeight="1" outlineLevel="1">
      <c r="D84" s="55">
        <v>2031</v>
      </c>
      <c r="E84" s="56">
        <v>11400000</v>
      </c>
      <c r="F84" s="57">
        <f>E84*0.3*0.32</f>
        <v>1094400</v>
      </c>
      <c r="G84" s="74">
        <f t="shared" si="3"/>
        <v>9.6000000000000002E-2</v>
      </c>
      <c r="H84" s="59"/>
      <c r="I84" s="60">
        <f t="shared" si="4"/>
        <v>4617000</v>
      </c>
      <c r="K84" s="61">
        <f t="shared" si="2"/>
        <v>3.4039331136000017</v>
      </c>
    </row>
    <row r="85" spans="4:11" ht="15" customHeight="1" outlineLevel="1">
      <c r="D85" s="55">
        <v>2032</v>
      </c>
      <c r="E85" s="56">
        <v>11400000</v>
      </c>
      <c r="F85" s="57">
        <f>E85*0.3*0.34</f>
        <v>1162800</v>
      </c>
      <c r="G85" s="74">
        <f t="shared" si="3"/>
        <v>0.10199999999999999</v>
      </c>
      <c r="H85" s="59"/>
      <c r="I85" s="60">
        <f t="shared" si="4"/>
        <v>5779800</v>
      </c>
      <c r="K85" s="61">
        <f t="shared" si="2"/>
        <v>4.261219971840001</v>
      </c>
    </row>
    <row r="86" spans="4:11" ht="15" customHeight="1" outlineLevel="1">
      <c r="D86" s="55">
        <v>2033</v>
      </c>
      <c r="E86" s="56">
        <v>11400000</v>
      </c>
      <c r="F86" s="57">
        <f>E86*0.3*0.36</f>
        <v>1231200</v>
      </c>
      <c r="G86" s="74">
        <f t="shared" si="3"/>
        <v>0.108</v>
      </c>
      <c r="H86" s="59"/>
      <c r="I86" s="60">
        <f t="shared" si="4"/>
        <v>7011000</v>
      </c>
      <c r="K86" s="61">
        <f t="shared" si="2"/>
        <v>5.1689354688000018</v>
      </c>
    </row>
    <row r="87" spans="4:11" ht="15" customHeight="1" outlineLevel="1">
      <c r="D87" s="55">
        <v>2034</v>
      </c>
      <c r="E87" s="56">
        <v>11400000</v>
      </c>
      <c r="F87" s="57">
        <f>E87*0.3*0.38</f>
        <v>1299600</v>
      </c>
      <c r="G87" s="74">
        <f t="shared" si="3"/>
        <v>0.114</v>
      </c>
      <c r="H87" s="59"/>
      <c r="I87" s="60">
        <f t="shared" si="4"/>
        <v>8310600</v>
      </c>
      <c r="K87" s="61">
        <f t="shared" si="2"/>
        <v>6.1270796044800022</v>
      </c>
    </row>
    <row r="88" spans="4:11" ht="15" customHeight="1" outlineLevel="1">
      <c r="D88" s="55">
        <v>2035</v>
      </c>
      <c r="E88" s="56">
        <v>11400000</v>
      </c>
      <c r="F88" s="57">
        <f>E88*0.3*0.4</f>
        <v>1368000</v>
      </c>
      <c r="G88" s="74">
        <f t="shared" si="3"/>
        <v>0.12</v>
      </c>
      <c r="H88" s="59"/>
      <c r="I88" s="60">
        <f t="shared" si="4"/>
        <v>9678600</v>
      </c>
      <c r="K88" s="61">
        <f t="shared" si="2"/>
        <v>7.1356523788800024</v>
      </c>
    </row>
    <row r="89" spans="4:11" ht="15" customHeight="1" outlineLevel="1">
      <c r="D89" s="55">
        <v>2036</v>
      </c>
      <c r="E89" s="56">
        <v>11400000</v>
      </c>
      <c r="F89" s="57">
        <f>E89*0.3*0.42</f>
        <v>1436400</v>
      </c>
      <c r="G89" s="74">
        <f t="shared" si="3"/>
        <v>0.126</v>
      </c>
      <c r="H89" s="59"/>
      <c r="I89" s="60">
        <f t="shared" si="4"/>
        <v>11115000</v>
      </c>
      <c r="K89" s="61">
        <f t="shared" si="2"/>
        <v>8.194653792000004</v>
      </c>
    </row>
    <row r="90" spans="4:11" ht="15" customHeight="1" outlineLevel="1">
      <c r="D90" s="55">
        <v>2037</v>
      </c>
      <c r="E90" s="56">
        <v>11400000</v>
      </c>
      <c r="F90" s="57">
        <f>E90*0.3*0.44</f>
        <v>1504800</v>
      </c>
      <c r="G90" s="74">
        <f t="shared" si="3"/>
        <v>0.13200000000000001</v>
      </c>
      <c r="H90" s="59"/>
      <c r="I90" s="60">
        <f t="shared" si="4"/>
        <v>12619800</v>
      </c>
      <c r="K90" s="61">
        <f t="shared" si="2"/>
        <v>9.3040838438400044</v>
      </c>
    </row>
    <row r="91" spans="4:11" ht="15" customHeight="1" outlineLevel="1">
      <c r="D91" s="55">
        <v>2038</v>
      </c>
      <c r="E91" s="56">
        <v>11400000</v>
      </c>
      <c r="F91" s="57">
        <f>E91*0.3*0.46</f>
        <v>1573200</v>
      </c>
      <c r="G91" s="74">
        <f t="shared" si="3"/>
        <v>0.13800000000000001</v>
      </c>
      <c r="H91" s="59"/>
      <c r="I91" s="60">
        <f t="shared" si="4"/>
        <v>14193000</v>
      </c>
      <c r="K91" s="61">
        <f t="shared" si="2"/>
        <v>10.463942534400003</v>
      </c>
    </row>
    <row r="92" spans="4:11" ht="15" customHeight="1" outlineLevel="1">
      <c r="D92" s="55">
        <v>2039</v>
      </c>
      <c r="E92" s="56">
        <v>11400000</v>
      </c>
      <c r="F92" s="57">
        <f>E92*0.3*0.48</f>
        <v>1641600</v>
      </c>
      <c r="G92" s="74">
        <f t="shared" si="3"/>
        <v>0.14399999999999999</v>
      </c>
      <c r="H92" s="59"/>
      <c r="I92" s="60">
        <f t="shared" si="4"/>
        <v>15834600</v>
      </c>
      <c r="K92" s="61">
        <f t="shared" si="2"/>
        <v>11.674229863680004</v>
      </c>
    </row>
    <row r="93" spans="4:11" ht="15" customHeight="1" outlineLevel="1" thickBot="1">
      <c r="D93" s="55">
        <v>2040</v>
      </c>
      <c r="E93" s="56">
        <v>11400000</v>
      </c>
      <c r="F93" s="57">
        <f>E93*0.3*0.5</f>
        <v>1710000</v>
      </c>
      <c r="G93" s="75">
        <f t="shared" si="3"/>
        <v>0.15</v>
      </c>
      <c r="H93" s="65"/>
      <c r="I93" s="66">
        <f>I92+F93-H93</f>
        <v>17544600</v>
      </c>
      <c r="K93" s="67">
        <f t="shared" si="2"/>
        <v>12.934945831680006</v>
      </c>
    </row>
    <row r="94" spans="4:11" ht="15" customHeight="1" outlineLevel="1">
      <c r="D94" s="68"/>
      <c r="E94" s="69"/>
      <c r="F94" s="70"/>
      <c r="G94" s="69"/>
      <c r="H94" s="69"/>
      <c r="I94" s="71" t="s">
        <v>63</v>
      </c>
      <c r="K94" s="72" t="s">
        <v>64</v>
      </c>
    </row>
    <row r="95" spans="4:11" ht="15" customHeight="1"/>
    <row r="96" spans="4:11" s="5" customFormat="1" ht="6" customHeight="1" outlineLevel="1"/>
    <row r="97" s="4" customFormat="1" ht="20.100000000000001" customHeight="1" outlineLevel="1"/>
    <row r="98" s="4" customFormat="1" ht="20.100000000000001" customHeight="1" outlineLevel="1"/>
    <row r="99" s="4" customFormat="1" ht="15" customHeight="1" outlineLevel="1"/>
    <row r="100" s="4" customFormat="1" ht="15" customHeight="1" outlineLevel="1"/>
    <row r="101" s="4" customFormat="1" ht="15" customHeight="1" outlineLevel="1"/>
    <row r="102" s="4" customFormat="1" ht="20.100000000000001" customHeight="1" outlineLevel="1"/>
    <row r="103" s="4" customFormat="1" ht="15" customHeight="1" outlineLevel="1"/>
    <row r="104" s="4" customFormat="1" ht="15" customHeight="1" outlineLevel="1"/>
    <row r="105" s="4" customFormat="1" ht="15" customHeight="1" outlineLevel="1"/>
    <row r="106" s="4" customFormat="1" ht="15" customHeight="1" outlineLevel="1"/>
    <row r="107" s="4" customFormat="1" ht="15" customHeight="1" outlineLevel="1"/>
    <row r="108" s="4" customFormat="1" ht="15" customHeight="1" outlineLevel="1"/>
    <row r="109" s="4" customFormat="1" ht="20.100000000000001" customHeight="1" outlineLevel="1"/>
    <row r="110" s="4" customFormat="1" ht="20.100000000000001" customHeight="1" outlineLevel="1"/>
    <row r="111" s="4" customFormat="1" ht="20.100000000000001" customHeight="1" outlineLevel="1"/>
    <row r="112" s="4" customFormat="1" ht="20.100000000000001" customHeight="1" outlineLevel="1"/>
    <row r="113" s="4" customFormat="1" ht="9.9499999999999993" customHeight="1" outlineLevel="1"/>
    <row r="114" s="4" customFormat="1" ht="52.5" customHeight="1" outlineLevel="1"/>
    <row r="115" s="4" customFormat="1" ht="15" customHeight="1" outlineLevel="1"/>
    <row r="116" s="4" customFormat="1" ht="20.100000000000001" customHeight="1" outlineLevel="1"/>
    <row r="117" s="4" customFormat="1" ht="30" customHeight="1" outlineLevel="1"/>
    <row r="118" s="4" customFormat="1" ht="399.95" customHeight="1" outlineLevel="1"/>
    <row r="119" s="5" customFormat="1" ht="15" customHeight="1" outlineLevel="1"/>
    <row r="120" s="5" customFormat="1" ht="15" customHeight="1" outlineLevel="1"/>
    <row r="121" s="5" customFormat="1" ht="15" customHeight="1" outlineLevel="1"/>
    <row r="122" s="5" customFormat="1" ht="15" customHeight="1" outlineLevel="1"/>
    <row r="123" s="5" customFormat="1" ht="15" customHeight="1" outlineLevel="1"/>
    <row r="124" s="5" customFormat="1" ht="45" customHeight="1" outlineLevel="1"/>
    <row r="125" s="5" customFormat="1" ht="15" customHeight="1" outlineLevel="1"/>
    <row r="126" s="5" customFormat="1" ht="15" customHeight="1" outlineLevel="1"/>
    <row r="127" s="5" customFormat="1" ht="15" customHeight="1" outlineLevel="1"/>
    <row r="128" s="5" customFormat="1" ht="15" customHeight="1" outlineLevel="1"/>
    <row r="129" s="5" customFormat="1" ht="15" customHeight="1" outlineLevel="1"/>
    <row r="130" s="5" customFormat="1" ht="15" customHeight="1" outlineLevel="1"/>
    <row r="131" s="5" customFormat="1" ht="15" customHeight="1" outlineLevel="1"/>
    <row r="132" s="5" customFormat="1" ht="45" customHeight="1" outlineLevel="1"/>
    <row r="133" s="5" customFormat="1" ht="15" customHeight="1" outlineLevel="1"/>
    <row r="134" s="5" customFormat="1" ht="15" customHeight="1" outlineLevel="1"/>
    <row r="135" s="5" customFormat="1" ht="15" customHeight="1" outlineLevel="1"/>
    <row r="136" s="5" customFormat="1" ht="15" customHeight="1" outlineLevel="1"/>
    <row r="137" s="5" customFormat="1" ht="15" customHeight="1" outlineLevel="1"/>
    <row r="138" s="5" customFormat="1" ht="15" customHeight="1" outlineLevel="1"/>
    <row r="139" s="5" customFormat="1" ht="15" customHeight="1" outlineLevel="1"/>
    <row r="140" s="4" customFormat="1" ht="6" customHeight="1" outlineLevel="1"/>
    <row r="141" s="4" customFormat="1" ht="6" customHeight="1" outlineLevel="1"/>
    <row r="142" s="4" customFormat="1" ht="20.100000000000001" customHeight="1" outlineLevel="1"/>
    <row r="143" s="4" customFormat="1" ht="20.100000000000001" customHeight="1" outlineLevel="1"/>
    <row r="144" s="4" customFormat="1" ht="30" customHeight="1" outlineLevel="1"/>
    <row r="145" s="4" customFormat="1" ht="399.95" customHeight="1" outlineLevel="1"/>
    <row r="146" s="4" customFormat="1" ht="15" customHeight="1" outlineLevel="1"/>
    <row r="147" s="4" customFormat="1" ht="45" customHeight="1" outlineLevel="1"/>
    <row r="148" s="4" customFormat="1" ht="15" customHeight="1" outlineLevel="1"/>
    <row r="149" s="4" customFormat="1" ht="20.100000000000001" customHeight="1" outlineLevel="1"/>
    <row r="150" s="4" customFormat="1" ht="20.100000000000001" customHeight="1" outlineLevel="1"/>
    <row r="151" s="4" customFormat="1" ht="33" customHeight="1" outlineLevel="1"/>
    <row r="152" s="4" customFormat="1" ht="30" customHeight="1" outlineLevel="1"/>
    <row r="153" s="4" customFormat="1" ht="15" customHeight="1" outlineLevel="1"/>
    <row r="154" s="4" customFormat="1" ht="15" customHeight="1" outlineLevel="1"/>
    <row r="155" s="4" customFormat="1" ht="15" customHeight="1" outlineLevel="1"/>
    <row r="156" s="4" customFormat="1" ht="15" customHeight="1" outlineLevel="1"/>
    <row r="157" s="4" customFormat="1" ht="15" customHeight="1" outlineLevel="1"/>
    <row r="158" s="4" customFormat="1" ht="15" customHeight="1" outlineLevel="1"/>
    <row r="159" s="4" customFormat="1" ht="15" customHeight="1" outlineLevel="1"/>
    <row r="160" s="4" customFormat="1" ht="15" customHeight="1" outlineLevel="1"/>
    <row r="161" spans="10:14" ht="15" customHeight="1" outlineLevel="1">
      <c r="J161" s="4"/>
      <c r="N161" s="4"/>
    </row>
    <row r="162" spans="10:14" ht="15" customHeight="1" outlineLevel="1">
      <c r="J162" s="4"/>
      <c r="N162" s="4"/>
    </row>
    <row r="163" spans="10:14" ht="15" customHeight="1" outlineLevel="1">
      <c r="J163" s="4"/>
      <c r="N163" s="4"/>
    </row>
    <row r="164" spans="10:14" ht="15" customHeight="1" outlineLevel="1">
      <c r="J164" s="4"/>
      <c r="N164" s="4"/>
    </row>
    <row r="165" spans="10:14" ht="15" customHeight="1" outlineLevel="1">
      <c r="J165" s="4"/>
      <c r="N165" s="4"/>
    </row>
    <row r="166" spans="10:14" ht="15" customHeight="1" outlineLevel="1">
      <c r="J166" s="4"/>
      <c r="N166" s="4"/>
    </row>
    <row r="167" spans="10:14" ht="15" customHeight="1" outlineLevel="1">
      <c r="J167" s="4"/>
      <c r="N167" s="4"/>
    </row>
    <row r="168" spans="10:14" ht="15" customHeight="1" outlineLevel="1">
      <c r="J168" s="4"/>
      <c r="N168" s="4"/>
    </row>
    <row r="169" spans="10:14" ht="15" customHeight="1" outlineLevel="1">
      <c r="J169" s="4"/>
      <c r="N169" s="4"/>
    </row>
    <row r="170" spans="10:14" ht="15" customHeight="1" outlineLevel="1">
      <c r="J170" s="4"/>
      <c r="N170" s="4"/>
    </row>
    <row r="171" spans="10:14" ht="15" customHeight="1"/>
    <row r="172" spans="10:14" s="5" customFormat="1" ht="6" customHeight="1" outlineLevel="1"/>
    <row r="173" spans="10:14" ht="20.100000000000001" customHeight="1" outlineLevel="1">
      <c r="J173" s="4"/>
      <c r="N173" s="4"/>
    </row>
    <row r="174" spans="10:14" ht="20.100000000000001" customHeight="1" outlineLevel="1">
      <c r="J174" s="4"/>
      <c r="N174" s="4"/>
    </row>
    <row r="175" spans="10:14" ht="15" customHeight="1" outlineLevel="1">
      <c r="J175" s="4"/>
      <c r="N175" s="4"/>
    </row>
    <row r="176" spans="10:14" ht="15" customHeight="1" outlineLevel="1">
      <c r="J176" s="4"/>
      <c r="N176" s="4"/>
    </row>
    <row r="177" s="4" customFormat="1" ht="15" customHeight="1" outlineLevel="1"/>
    <row r="178" s="4" customFormat="1" ht="20.100000000000001" customHeight="1" outlineLevel="1"/>
    <row r="179" s="4" customFormat="1" ht="15" customHeight="1" outlineLevel="1"/>
    <row r="180" s="4" customFormat="1" ht="15" customHeight="1" outlineLevel="1"/>
    <row r="181" s="4" customFormat="1" ht="15" customHeight="1" outlineLevel="1"/>
    <row r="182" s="4" customFormat="1" ht="15" customHeight="1" outlineLevel="1"/>
    <row r="183" s="4" customFormat="1" ht="15" customHeight="1" outlineLevel="1"/>
    <row r="184" s="4" customFormat="1" ht="15" customHeight="1" outlineLevel="1"/>
    <row r="185" s="4" customFormat="1" ht="20.100000000000001" customHeight="1" outlineLevel="1"/>
    <row r="186" s="4" customFormat="1" ht="12.75" customHeight="1" outlineLevel="1"/>
    <row r="187" s="4" customFormat="1" ht="20.100000000000001" customHeight="1" outlineLevel="1"/>
    <row r="188" s="4" customFormat="1" ht="20.100000000000001" customHeight="1" outlineLevel="1"/>
    <row r="189" s="4" customFormat="1" ht="9.9499999999999993" customHeight="1" outlineLevel="1"/>
    <row r="190" s="4" customFormat="1" ht="52.5" customHeight="1" outlineLevel="1"/>
    <row r="191" s="4" customFormat="1" ht="15" customHeight="1" outlineLevel="1"/>
    <row r="192" s="4" customFormat="1" ht="20.100000000000001" customHeight="1" outlineLevel="1"/>
    <row r="193" s="4" customFormat="1" ht="30" customHeight="1" outlineLevel="1"/>
    <row r="194" s="4" customFormat="1" ht="399.95" customHeight="1" outlineLevel="1"/>
    <row r="195" s="5" customFormat="1" ht="15" customHeight="1" outlineLevel="1"/>
    <row r="196" s="5" customFormat="1" ht="15" customHeight="1" outlineLevel="1"/>
    <row r="197" s="5" customFormat="1" ht="15" customHeight="1" outlineLevel="1"/>
    <row r="198" s="5" customFormat="1" ht="15" customHeight="1" outlineLevel="1"/>
    <row r="199" s="5" customFormat="1" ht="15" customHeight="1" outlineLevel="1"/>
    <row r="200" s="5" customFormat="1" ht="45" customHeight="1" outlineLevel="1"/>
    <row r="201" s="5" customFormat="1" ht="15" customHeight="1" outlineLevel="1"/>
    <row r="202" s="5" customFormat="1" ht="15" customHeight="1" outlineLevel="1"/>
    <row r="203" s="5" customFormat="1" ht="15" customHeight="1" outlineLevel="1"/>
    <row r="204" s="5" customFormat="1" ht="15" customHeight="1" outlineLevel="1"/>
    <row r="205" s="5" customFormat="1" ht="15" customHeight="1" outlineLevel="1"/>
    <row r="206" s="5" customFormat="1" ht="15" customHeight="1" outlineLevel="1"/>
    <row r="207" s="5" customFormat="1" ht="15" customHeight="1" outlineLevel="1"/>
    <row r="208" s="5" customFormat="1" ht="45" customHeight="1" outlineLevel="1"/>
    <row r="209" s="5" customFormat="1" ht="15" customHeight="1" outlineLevel="1"/>
    <row r="210" s="5" customFormat="1" ht="15" customHeight="1" outlineLevel="1"/>
    <row r="211" s="5" customFormat="1" ht="15" customHeight="1" outlineLevel="1"/>
    <row r="212" s="5" customFormat="1" ht="15" customHeight="1" outlineLevel="1"/>
    <row r="213" s="5" customFormat="1" ht="15" customHeight="1" outlineLevel="1"/>
    <row r="214" s="5" customFormat="1" ht="15" customHeight="1" outlineLevel="1"/>
    <row r="215" s="5" customFormat="1" ht="15" customHeight="1" outlineLevel="1"/>
    <row r="216" s="4" customFormat="1" ht="6" customHeight="1" outlineLevel="1"/>
    <row r="217" s="4" customFormat="1" ht="6" customHeight="1" outlineLevel="1"/>
    <row r="218" s="4" customFormat="1" ht="20.100000000000001" customHeight="1" outlineLevel="1"/>
    <row r="219" s="4" customFormat="1" ht="20.100000000000001" customHeight="1" outlineLevel="1"/>
    <row r="220" s="4" customFormat="1" ht="30" customHeight="1" outlineLevel="1"/>
    <row r="221" s="4" customFormat="1" ht="399.95" customHeight="1" outlineLevel="1"/>
    <row r="222" s="4" customFormat="1" ht="15" customHeight="1" outlineLevel="1"/>
    <row r="223" s="4" customFormat="1" ht="45" customHeight="1" outlineLevel="1"/>
    <row r="224" s="4" customFormat="1" ht="15" customHeight="1" outlineLevel="1"/>
    <row r="225" s="4" customFormat="1" ht="20.100000000000001" customHeight="1" outlineLevel="1"/>
    <row r="226" s="4" customFormat="1" ht="20.100000000000001" customHeight="1" outlineLevel="1"/>
    <row r="227" s="4" customFormat="1" ht="33" customHeight="1" outlineLevel="1"/>
    <row r="228" s="4" customFormat="1" ht="30" customHeight="1" outlineLevel="1"/>
    <row r="229" s="4" customFormat="1" ht="15" customHeight="1" outlineLevel="1"/>
    <row r="230" s="4" customFormat="1" ht="15" customHeight="1" outlineLevel="1"/>
    <row r="231" s="4" customFormat="1" ht="15" customHeight="1" outlineLevel="1"/>
    <row r="232" s="4" customFormat="1" ht="15" customHeight="1" outlineLevel="1"/>
    <row r="233" s="4" customFormat="1" ht="15" customHeight="1" outlineLevel="1"/>
    <row r="234" s="4" customFormat="1" ht="15" customHeight="1" outlineLevel="1"/>
    <row r="235" s="4" customFormat="1" ht="15" customHeight="1" outlineLevel="1"/>
    <row r="236" s="4" customFormat="1" ht="15" customHeight="1" outlineLevel="1"/>
    <row r="237" s="4" customFormat="1" ht="15" customHeight="1" outlineLevel="1"/>
    <row r="238" s="4" customFormat="1" ht="15" customHeight="1" outlineLevel="1"/>
    <row r="239" s="4" customFormat="1" ht="15" customHeight="1" outlineLevel="1"/>
    <row r="240" s="4" customFormat="1" ht="15" customHeight="1" outlineLevel="1"/>
    <row r="241" spans="10:14" ht="15" customHeight="1" outlineLevel="1">
      <c r="J241" s="4"/>
      <c r="N241" s="4"/>
    </row>
    <row r="242" spans="10:14" ht="15" customHeight="1" outlineLevel="1">
      <c r="J242" s="4"/>
      <c r="N242" s="4"/>
    </row>
    <row r="243" spans="10:14" ht="15" customHeight="1" outlineLevel="1">
      <c r="J243" s="4"/>
      <c r="N243" s="4"/>
    </row>
    <row r="244" spans="10:14" ht="15" customHeight="1" outlineLevel="1">
      <c r="J244" s="4"/>
      <c r="N244" s="4"/>
    </row>
    <row r="245" spans="10:14" ht="15" customHeight="1" outlineLevel="1">
      <c r="J245" s="4"/>
      <c r="N245" s="4"/>
    </row>
    <row r="246" spans="10:14" ht="15" customHeight="1" outlineLevel="1">
      <c r="J246" s="4"/>
      <c r="N246" s="4"/>
    </row>
    <row r="247" spans="10:14" ht="15" customHeight="1"/>
    <row r="248" spans="10:14" ht="6" customHeight="1" outlineLevel="1">
      <c r="J248" s="4"/>
      <c r="N248" s="4"/>
    </row>
    <row r="249" spans="10:14" ht="20.100000000000001" customHeight="1" outlineLevel="1">
      <c r="J249" s="4"/>
      <c r="N249" s="4"/>
    </row>
    <row r="250" spans="10:14" ht="20.100000000000001" customHeight="1" outlineLevel="1">
      <c r="J250" s="4"/>
      <c r="N250" s="4"/>
    </row>
    <row r="251" spans="10:14" ht="15" customHeight="1" outlineLevel="1">
      <c r="J251" s="4"/>
      <c r="N251" s="4"/>
    </row>
    <row r="252" spans="10:14" ht="15" customHeight="1" outlineLevel="1">
      <c r="J252" s="4"/>
      <c r="N252" s="4"/>
    </row>
    <row r="253" spans="10:14" ht="15" customHeight="1" outlineLevel="1">
      <c r="J253" s="4"/>
      <c r="N253" s="4"/>
    </row>
    <row r="254" spans="10:14" ht="20.100000000000001" customHeight="1" outlineLevel="1">
      <c r="J254" s="4"/>
      <c r="N254" s="4"/>
    </row>
    <row r="255" spans="10:14" ht="15" customHeight="1" outlineLevel="1">
      <c r="J255" s="4"/>
      <c r="N255" s="4"/>
    </row>
    <row r="256" spans="10:14" ht="15" customHeight="1" outlineLevel="1">
      <c r="J256" s="4"/>
      <c r="N256" s="4"/>
    </row>
    <row r="257" s="4" customFormat="1" ht="20.100000000000001" customHeight="1" outlineLevel="1"/>
    <row r="258" s="4" customFormat="1" ht="20.100000000000001" customHeight="1" outlineLevel="1"/>
    <row r="259" s="4" customFormat="1" ht="20.100000000000001" customHeight="1" outlineLevel="1"/>
    <row r="260" s="4" customFormat="1" ht="20.100000000000001" customHeight="1" outlineLevel="1"/>
    <row r="261" s="4" customFormat="1" ht="9.9499999999999993" customHeight="1" outlineLevel="1"/>
    <row r="262" s="4" customFormat="1" ht="52.5" customHeight="1" outlineLevel="1"/>
    <row r="263" s="4" customFormat="1" ht="15" customHeight="1" outlineLevel="1"/>
    <row r="264" s="4" customFormat="1" ht="20.100000000000001" customHeight="1" outlineLevel="1"/>
    <row r="265" s="73" customFormat="1" ht="30" customHeight="1" outlineLevel="1"/>
    <row r="266" s="73" customFormat="1" ht="399.95" customHeight="1" outlineLevel="1"/>
    <row r="267" s="73" customFormat="1" ht="13.5" outlineLevel="1"/>
    <row r="268" s="73" customFormat="1" ht="13.5" outlineLevel="1"/>
    <row r="269" s="73" customFormat="1" ht="13.5" outlineLevel="1"/>
    <row r="270" s="73" customFormat="1" ht="13.5" outlineLevel="1"/>
    <row r="271" s="73" customFormat="1" ht="13.5" outlineLevel="1"/>
    <row r="272" s="73" customFormat="1" ht="90" customHeight="1" outlineLevel="1"/>
    <row r="273" s="73" customFormat="1" ht="13.5" outlineLevel="1"/>
    <row r="274" s="73" customFormat="1" ht="13.5" outlineLevel="1"/>
    <row r="275" s="73" customFormat="1" ht="90" customHeight="1" outlineLevel="1"/>
    <row r="276" s="73" customFormat="1" ht="13.5" outlineLevel="1"/>
    <row r="277" s="73" customFormat="1" ht="13.5" outlineLevel="1"/>
    <row r="278" s="73" customFormat="1" ht="13.5" outlineLevel="1"/>
    <row r="279" s="73" customFormat="1" ht="20.100000000000001" customHeight="1" outlineLevel="1"/>
    <row r="280" s="73" customFormat="1" ht="20.100000000000001" customHeight="1" outlineLevel="1"/>
    <row r="281" s="73" customFormat="1" ht="30" customHeight="1" outlineLevel="1"/>
    <row r="282" s="73" customFormat="1" ht="399.95" customHeight="1" outlineLevel="1"/>
    <row r="283" s="73" customFormat="1" ht="15" customHeight="1" outlineLevel="1"/>
    <row r="284" s="73" customFormat="1" ht="45" customHeight="1" outlineLevel="1"/>
    <row r="285" s="73" customFormat="1" ht="15" customHeight="1" outlineLevel="1"/>
    <row r="286" s="73" customFormat="1" ht="20.100000000000001" customHeight="1" outlineLevel="1"/>
    <row r="287" s="73" customFormat="1" ht="20.100000000000001" customHeight="1" outlineLevel="1"/>
    <row r="288" s="73" customFormat="1" ht="33" customHeight="1" outlineLevel="1"/>
    <row r="289" s="73" customFormat="1" ht="30" customHeight="1" outlineLevel="1"/>
    <row r="290" s="73" customFormat="1" ht="15" customHeight="1" outlineLevel="1"/>
    <row r="291" s="73" customFormat="1" ht="15" customHeight="1" outlineLevel="1"/>
    <row r="292" s="73" customFormat="1" ht="15" customHeight="1" outlineLevel="1"/>
    <row r="293" s="73" customFormat="1" ht="15" customHeight="1" outlineLevel="1"/>
    <row r="294" s="73" customFormat="1" ht="15" customHeight="1" outlineLevel="1"/>
    <row r="295" s="73" customFormat="1" ht="15" customHeight="1" outlineLevel="1"/>
    <row r="296" s="73" customFormat="1" ht="15" customHeight="1" outlineLevel="1"/>
    <row r="297" s="73" customFormat="1" ht="15" customHeight="1" outlineLevel="1"/>
    <row r="298" s="73" customFormat="1" ht="15" customHeight="1" outlineLevel="1"/>
    <row r="299" s="73" customFormat="1" ht="15" customHeight="1" outlineLevel="1"/>
    <row r="300" s="73" customFormat="1" ht="15" customHeight="1" outlineLevel="1"/>
    <row r="301" s="73" customFormat="1" ht="15" customHeight="1" outlineLevel="1"/>
    <row r="302" s="73" customFormat="1" ht="15" customHeight="1" outlineLevel="1"/>
    <row r="303" s="73" customFormat="1" ht="15" customHeight="1" outlineLevel="1"/>
    <row r="304" s="73" customFormat="1" ht="15" customHeight="1" outlineLevel="1"/>
    <row r="305" s="73" customFormat="1" ht="15" customHeight="1" outlineLevel="1"/>
    <row r="306" s="73" customFormat="1" ht="15" customHeight="1" outlineLevel="1"/>
    <row r="307" s="73" customFormat="1" ht="15" customHeight="1" outlineLevel="1"/>
    <row r="308" ht="15" customHeight="1"/>
  </sheetData>
  <mergeCells count="28">
    <mergeCell ref="G61:H61"/>
    <mergeCell ref="F63:G63"/>
    <mergeCell ref="D68:K68"/>
    <mergeCell ref="D69:K69"/>
    <mergeCell ref="D71:E71"/>
    <mergeCell ref="F71:K71"/>
    <mergeCell ref="D75:D76"/>
    <mergeCell ref="F75:G75"/>
    <mergeCell ref="H75:H76"/>
    <mergeCell ref="I75:I76"/>
    <mergeCell ref="K75:K76"/>
    <mergeCell ref="G59:H59"/>
    <mergeCell ref="F23:H23"/>
    <mergeCell ref="F26:G26"/>
    <mergeCell ref="F33:G33"/>
    <mergeCell ref="F36:G36"/>
    <mergeCell ref="F38:K38"/>
    <mergeCell ref="D41:K41"/>
    <mergeCell ref="D42:K42"/>
    <mergeCell ref="F48:K48"/>
    <mergeCell ref="G51:H51"/>
    <mergeCell ref="G53:H53"/>
    <mergeCell ref="F56:K56"/>
    <mergeCell ref="B5:K5"/>
    <mergeCell ref="F11:H11"/>
    <mergeCell ref="F13:H13"/>
    <mergeCell ref="C16:K16"/>
    <mergeCell ref="C17:K18"/>
  </mergeCells>
  <phoneticPr fontId="2"/>
  <dataValidations count="1">
    <dataValidation type="list" allowBlank="1" showInputMessage="1" showErrorMessage="1" sqref="H32" xr:uid="{0725A6DC-1552-4227-96A6-0A66E4C5F839}">
      <formula1>$D$77:$D$93</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2" manualBreakCount="2">
    <brk id="19" max="16383" man="1"/>
    <brk id="6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6680-55A6-4C2B-8557-F1273BBDA0E5}">
  <sheetPr>
    <pageSetUpPr fitToPage="1"/>
  </sheetPr>
  <dimension ref="A1:U308"/>
  <sheetViews>
    <sheetView zoomScaleNormal="100" workbookViewId="0"/>
  </sheetViews>
  <sheetFormatPr defaultRowHeight="18.75" outlineLevelRow="1"/>
  <cols>
    <col min="1" max="1" width="1.625" style="4" customWidth="1"/>
    <col min="2" max="3" width="4.25" style="4" customWidth="1"/>
    <col min="4" max="4" width="9" style="4"/>
    <col min="5" max="9" width="17.625" style="4" customWidth="1"/>
    <col min="10" max="10" width="1.625" style="16" customWidth="1"/>
    <col min="11" max="11" width="22.625" style="4" customWidth="1"/>
    <col min="12" max="12" width="1.625" style="4" customWidth="1"/>
    <col min="13" max="13" width="2.625" style="4" customWidth="1"/>
    <col min="14" max="14" width="8.625" style="9" customWidth="1"/>
    <col min="15" max="17" width="8.625" style="4" customWidth="1"/>
    <col min="18" max="25" width="8.125" style="4" customWidth="1"/>
    <col min="26" max="16384" width="9" style="4"/>
  </cols>
  <sheetData>
    <row r="1" spans="2:14" ht="5.25" customHeight="1" thickBot="1">
      <c r="B1" s="1"/>
      <c r="C1" s="1"/>
      <c r="D1" s="1"/>
      <c r="E1" s="1"/>
      <c r="F1" s="1"/>
      <c r="G1" s="1"/>
      <c r="H1" s="1"/>
      <c r="I1" s="1"/>
      <c r="J1" s="2"/>
      <c r="K1" s="1"/>
      <c r="L1" s="1"/>
      <c r="M1" s="1"/>
      <c r="N1" s="3"/>
    </row>
    <row r="2" spans="2:14" ht="15" customHeight="1" thickBot="1">
      <c r="B2" s="1"/>
      <c r="C2" s="1"/>
      <c r="E2" s="5"/>
      <c r="F2" s="3"/>
      <c r="G2" s="6"/>
      <c r="H2" s="1"/>
      <c r="J2" s="7" t="s">
        <v>0</v>
      </c>
      <c r="K2" s="8"/>
      <c r="L2" s="1"/>
      <c r="M2" s="1"/>
      <c r="N2" s="3"/>
    </row>
    <row r="3" spans="2:14" ht="15" customHeight="1">
      <c r="B3" s="1"/>
      <c r="C3" s="1"/>
      <c r="D3" s="9"/>
      <c r="E3" s="5"/>
      <c r="F3" s="6"/>
      <c r="H3" s="1"/>
      <c r="J3" s="2"/>
      <c r="K3" s="7" t="s">
        <v>123</v>
      </c>
      <c r="L3" s="1"/>
      <c r="M3" s="1"/>
      <c r="N3" s="10"/>
    </row>
    <row r="4" spans="2:14" s="5" customFormat="1" ht="15" customHeight="1">
      <c r="B4" s="11" t="s">
        <v>1</v>
      </c>
      <c r="C4" s="6"/>
      <c r="D4" s="6"/>
      <c r="E4" s="10"/>
      <c r="F4" s="6"/>
      <c r="G4" s="6"/>
      <c r="J4" s="12"/>
      <c r="K4" s="6"/>
      <c r="L4" s="6"/>
      <c r="M4" s="13"/>
      <c r="N4" s="3"/>
    </row>
    <row r="5" spans="2:14" ht="20.100000000000001" customHeight="1">
      <c r="B5" s="97" t="s">
        <v>2</v>
      </c>
      <c r="C5" s="97"/>
      <c r="D5" s="97"/>
      <c r="E5" s="97"/>
      <c r="F5" s="97"/>
      <c r="G5" s="97"/>
      <c r="H5" s="97"/>
      <c r="I5" s="97"/>
      <c r="J5" s="97"/>
      <c r="K5" s="97"/>
      <c r="L5" s="1"/>
      <c r="M5" s="14"/>
      <c r="N5" s="3"/>
    </row>
    <row r="6" spans="2:14" ht="20.100000000000001" customHeight="1" thickBot="1">
      <c r="B6" s="15" t="s">
        <v>3</v>
      </c>
      <c r="H6" s="1"/>
      <c r="I6" s="1"/>
    </row>
    <row r="7" spans="2:14" s="5" customFormat="1" ht="15" customHeight="1" thickBot="1">
      <c r="B7" s="17"/>
      <c r="C7" s="5" t="s">
        <v>4</v>
      </c>
      <c r="E7" s="5" t="s">
        <v>5</v>
      </c>
      <c r="G7" s="18" t="s">
        <v>6</v>
      </c>
      <c r="H7" s="6"/>
      <c r="I7" s="6"/>
      <c r="J7" s="19"/>
      <c r="N7" s="9"/>
    </row>
    <row r="8" spans="2:14" s="5" customFormat="1" ht="15" customHeight="1" thickBot="1">
      <c r="B8" s="17"/>
      <c r="E8" s="5" t="s">
        <v>7</v>
      </c>
      <c r="G8" s="18" t="s">
        <v>8</v>
      </c>
      <c r="H8" s="6"/>
      <c r="I8" s="6"/>
      <c r="J8" s="19"/>
      <c r="N8" s="9"/>
    </row>
    <row r="9" spans="2:14" s="5" customFormat="1" ht="15" customHeight="1" thickBot="1">
      <c r="B9" s="17"/>
      <c r="E9" s="5" t="s">
        <v>9</v>
      </c>
      <c r="G9" s="18" t="s">
        <v>10</v>
      </c>
      <c r="H9" s="6"/>
      <c r="I9" s="6"/>
      <c r="J9" s="19"/>
      <c r="N9" s="9"/>
    </row>
    <row r="10" spans="2:14" s="5" customFormat="1" ht="15" customHeight="1" thickBot="1">
      <c r="C10" s="5" t="s">
        <v>11</v>
      </c>
      <c r="J10" s="19"/>
      <c r="N10" s="9"/>
    </row>
    <row r="11" spans="2:14" ht="30" customHeight="1" thickTop="1" thickBot="1">
      <c r="D11" s="5" t="s">
        <v>12</v>
      </c>
      <c r="E11" s="5"/>
      <c r="F11" s="98" t="e">
        <f>F26+#REF!+#REF!+#REF!</f>
        <v>#REF!</v>
      </c>
      <c r="G11" s="99"/>
      <c r="H11" s="100"/>
      <c r="I11" s="4" t="s">
        <v>13</v>
      </c>
    </row>
    <row r="12" spans="2:14" ht="15" customHeight="1" thickTop="1" thickBot="1">
      <c r="C12" s="5" t="s">
        <v>14</v>
      </c>
      <c r="D12" s="5"/>
      <c r="E12" s="5"/>
      <c r="F12" s="5"/>
      <c r="G12" s="5"/>
      <c r="H12" s="5"/>
    </row>
    <row r="13" spans="2:14" ht="20.100000000000001" customHeight="1" thickTop="1" thickBot="1">
      <c r="D13" s="5" t="s">
        <v>12</v>
      </c>
      <c r="E13" s="5"/>
      <c r="F13" s="101" t="e">
        <f>IF(F36+#REF!+#REF!+#REF!=0,"-",F36+#REF!+#REF!+#REF!)</f>
        <v>#REF!</v>
      </c>
      <c r="G13" s="102"/>
      <c r="H13" s="103"/>
      <c r="I13" s="4" t="s">
        <v>13</v>
      </c>
    </row>
    <row r="14" spans="2:14" ht="15" customHeight="1" thickTop="1">
      <c r="C14" s="20"/>
      <c r="D14" s="5"/>
      <c r="E14" s="5"/>
      <c r="F14" s="21" t="e">
        <f>IF(F11&gt;=100,"エラー：過大の可能性がある値が記載されておりますので今一度ご確認ください。","")</f>
        <v>#REF!</v>
      </c>
      <c r="G14" s="22"/>
    </row>
    <row r="15" spans="2:14" ht="399.95" customHeight="1">
      <c r="D15" s="23"/>
    </row>
    <row r="16" spans="2:14" s="5" customFormat="1" ht="15" customHeight="1" thickBot="1">
      <c r="C16" s="104" t="s">
        <v>15</v>
      </c>
      <c r="D16" s="104"/>
      <c r="E16" s="104"/>
      <c r="F16" s="104"/>
      <c r="G16" s="104"/>
      <c r="H16" s="104"/>
      <c r="I16" s="104"/>
      <c r="J16" s="104"/>
      <c r="K16" s="104"/>
      <c r="M16" s="9"/>
      <c r="N16" s="9"/>
    </row>
    <row r="17" spans="2:21" s="5" customFormat="1" ht="150" customHeight="1">
      <c r="C17" s="162" t="s">
        <v>126</v>
      </c>
      <c r="D17" s="163"/>
      <c r="E17" s="163"/>
      <c r="F17" s="163"/>
      <c r="G17" s="163"/>
      <c r="H17" s="163"/>
      <c r="I17" s="163"/>
      <c r="J17" s="163"/>
      <c r="K17" s="164"/>
      <c r="M17" s="93"/>
      <c r="N17" s="93"/>
      <c r="O17" s="93"/>
      <c r="P17" s="93"/>
      <c r="Q17" s="93"/>
      <c r="R17" s="93"/>
      <c r="S17" s="24"/>
    </row>
    <row r="18" spans="2:21" s="5" customFormat="1" ht="150" customHeight="1" thickBot="1">
      <c r="C18" s="165"/>
      <c r="D18" s="166"/>
      <c r="E18" s="166"/>
      <c r="F18" s="166"/>
      <c r="G18" s="166"/>
      <c r="H18" s="166"/>
      <c r="I18" s="166"/>
      <c r="J18" s="166"/>
      <c r="K18" s="167"/>
      <c r="M18" s="93"/>
      <c r="N18" s="93"/>
      <c r="O18" s="93"/>
      <c r="P18" s="93"/>
      <c r="Q18" s="93"/>
      <c r="R18" s="93"/>
    </row>
    <row r="19" spans="2:21" s="5" customFormat="1" ht="6" customHeight="1">
      <c r="D19" s="25"/>
      <c r="J19" s="19"/>
      <c r="M19" s="83"/>
      <c r="N19" s="84"/>
      <c r="O19" s="83"/>
      <c r="P19" s="83"/>
      <c r="Q19" s="83"/>
      <c r="R19" s="83"/>
      <c r="S19" s="83"/>
      <c r="T19" s="83"/>
      <c r="U19" s="83"/>
    </row>
    <row r="20" spans="2:21" s="5" customFormat="1" ht="6" customHeight="1" outlineLevel="1">
      <c r="D20" s="25"/>
      <c r="J20" s="19"/>
      <c r="M20" s="83"/>
      <c r="N20" s="84"/>
      <c r="O20" s="85"/>
      <c r="P20" s="85"/>
      <c r="Q20" s="85"/>
      <c r="R20" s="85"/>
      <c r="S20" s="85"/>
      <c r="T20" s="85"/>
      <c r="U20" s="86"/>
    </row>
    <row r="21" spans="2:21" ht="20.100000000000001" customHeight="1" outlineLevel="1">
      <c r="B21" s="26" t="s">
        <v>16</v>
      </c>
      <c r="C21" s="20"/>
      <c r="D21" s="27"/>
      <c r="K21" s="7"/>
      <c r="M21" s="87"/>
      <c r="N21" s="84" t="s">
        <v>115</v>
      </c>
      <c r="O21" s="85"/>
      <c r="P21" s="85"/>
      <c r="Q21" s="85"/>
      <c r="R21" s="85"/>
      <c r="S21" s="85"/>
      <c r="T21" s="85"/>
      <c r="U21" s="83"/>
    </row>
    <row r="22" spans="2:21" ht="20.100000000000001" customHeight="1" outlineLevel="1" thickBot="1">
      <c r="B22" s="28" t="s">
        <v>17</v>
      </c>
      <c r="H22" s="1"/>
      <c r="K22" s="7" t="s">
        <v>123</v>
      </c>
      <c r="M22" s="87"/>
      <c r="N22" s="84"/>
      <c r="O22" s="84"/>
      <c r="P22" s="87" t="s">
        <v>116</v>
      </c>
      <c r="Q22" s="87" t="s">
        <v>117</v>
      </c>
      <c r="R22" s="87" t="s">
        <v>118</v>
      </c>
      <c r="S22" s="87" t="s">
        <v>119</v>
      </c>
      <c r="T22" s="87"/>
      <c r="U22" s="87"/>
    </row>
    <row r="23" spans="2:21" ht="15" customHeight="1" outlineLevel="1" thickBot="1">
      <c r="B23" s="28"/>
      <c r="C23" s="5" t="s">
        <v>18</v>
      </c>
      <c r="D23" s="5"/>
      <c r="E23" s="5"/>
      <c r="F23" s="113" t="s">
        <v>88</v>
      </c>
      <c r="G23" s="114"/>
      <c r="H23" s="115"/>
      <c r="I23" s="1"/>
      <c r="M23" s="87"/>
      <c r="N23" s="84"/>
      <c r="O23" s="88"/>
      <c r="P23" s="89" t="str">
        <f>IF(F23="","",F23)</f>
        <v>大型有機ELテレビの技術開発</v>
      </c>
      <c r="Q23" s="89" t="e">
        <f>IF(#REF!="","",#REF!)</f>
        <v>#REF!</v>
      </c>
      <c r="R23" s="89" t="e">
        <f>IF(#REF!="","",#REF!)</f>
        <v>#REF!</v>
      </c>
      <c r="S23" s="89" t="e">
        <f>IF(#REF!="","",#REF!)</f>
        <v>#REF!</v>
      </c>
      <c r="T23" s="90" t="s">
        <v>120</v>
      </c>
      <c r="U23" s="87"/>
    </row>
    <row r="24" spans="2:21" ht="15" customHeight="1" outlineLevel="1">
      <c r="B24" s="28"/>
      <c r="C24" s="5"/>
      <c r="D24" s="5"/>
      <c r="E24" s="6"/>
      <c r="F24" s="6"/>
      <c r="G24" s="6"/>
      <c r="H24" s="6"/>
      <c r="I24" s="1"/>
      <c r="M24" s="87"/>
      <c r="N24" s="84"/>
      <c r="O24" s="91">
        <v>2024</v>
      </c>
      <c r="P24" s="92">
        <f t="shared" ref="P24:P40" si="0">K77</f>
        <v>0</v>
      </c>
      <c r="Q24" s="92" t="e">
        <f>#REF!</f>
        <v>#REF!</v>
      </c>
      <c r="R24" s="92" t="e">
        <f>#REF!</f>
        <v>#REF!</v>
      </c>
      <c r="S24" s="92" t="e">
        <f>#REF!</f>
        <v>#REF!</v>
      </c>
      <c r="T24" s="90" t="e">
        <f>SUM(P24:S24)</f>
        <v>#REF!</v>
      </c>
      <c r="U24" s="87"/>
    </row>
    <row r="25" spans="2:21" ht="15" customHeight="1" outlineLevel="1" thickBot="1">
      <c r="C25" s="5" t="s">
        <v>11</v>
      </c>
      <c r="D25" s="5"/>
      <c r="E25" s="5"/>
      <c r="F25" s="5"/>
      <c r="G25" s="5"/>
      <c r="H25" s="5"/>
      <c r="I25" s="1"/>
      <c r="M25" s="87"/>
      <c r="N25" s="84"/>
      <c r="O25" s="91">
        <v>2025</v>
      </c>
      <c r="P25" s="92">
        <f t="shared" si="0"/>
        <v>0</v>
      </c>
      <c r="Q25" s="92" t="e">
        <f>#REF!</f>
        <v>#REF!</v>
      </c>
      <c r="R25" s="92" t="e">
        <f>#REF!</f>
        <v>#REF!</v>
      </c>
      <c r="S25" s="92" t="e">
        <f>#REF!</f>
        <v>#REF!</v>
      </c>
      <c r="T25" s="90" t="e">
        <f t="shared" ref="T25:T40" si="1">SUM(P25:S25)</f>
        <v>#REF!</v>
      </c>
      <c r="U25" s="87"/>
    </row>
    <row r="26" spans="2:21" ht="20.100000000000001" customHeight="1" outlineLevel="1" thickBot="1">
      <c r="C26" s="5"/>
      <c r="D26" s="5" t="s">
        <v>12</v>
      </c>
      <c r="E26" s="5"/>
      <c r="F26" s="116">
        <f>F63*I93/10000</f>
        <v>12.441190391431022</v>
      </c>
      <c r="G26" s="117"/>
      <c r="H26" s="29" t="s">
        <v>13</v>
      </c>
      <c r="I26" s="1"/>
      <c r="M26" s="87"/>
      <c r="N26" s="84"/>
      <c r="O26" s="91">
        <v>2026</v>
      </c>
      <c r="P26" s="92">
        <f t="shared" si="0"/>
        <v>8.9376566399999996E-2</v>
      </c>
      <c r="Q26" s="92" t="e">
        <f>#REF!</f>
        <v>#REF!</v>
      </c>
      <c r="R26" s="92" t="e">
        <f>#REF!</f>
        <v>#REF!</v>
      </c>
      <c r="S26" s="92" t="e">
        <f>#REF!</f>
        <v>#REF!</v>
      </c>
      <c r="T26" s="90" t="e">
        <f t="shared" si="1"/>
        <v>#REF!</v>
      </c>
      <c r="U26" s="87"/>
    </row>
    <row r="27" spans="2:21" ht="15" customHeight="1" outlineLevel="1">
      <c r="C27" s="5"/>
      <c r="D27" s="5"/>
      <c r="E27" s="5" t="s">
        <v>20</v>
      </c>
      <c r="F27" s="30"/>
      <c r="G27" s="30"/>
      <c r="H27" s="5"/>
      <c r="I27" s="1"/>
      <c r="M27" s="87"/>
      <c r="N27" s="84"/>
      <c r="O27" s="91">
        <v>2027</v>
      </c>
      <c r="P27" s="92">
        <f t="shared" si="0"/>
        <v>0.26812969920000002</v>
      </c>
      <c r="Q27" s="92" t="e">
        <f>#REF!</f>
        <v>#REF!</v>
      </c>
      <c r="R27" s="92" t="e">
        <f>#REF!</f>
        <v>#REF!</v>
      </c>
      <c r="S27" s="92" t="e">
        <f>#REF!</f>
        <v>#REF!</v>
      </c>
      <c r="T27" s="90" t="e">
        <f t="shared" si="1"/>
        <v>#REF!</v>
      </c>
      <c r="U27" s="87"/>
    </row>
    <row r="28" spans="2:21" ht="15" customHeight="1" outlineLevel="1">
      <c r="C28" s="5"/>
      <c r="D28" s="5"/>
      <c r="E28" s="31"/>
      <c r="F28" s="5" t="s">
        <v>12</v>
      </c>
      <c r="G28" s="32">
        <f>SUM(G51,G53)*I93/10000</f>
        <v>41.470634638103419</v>
      </c>
      <c r="H28" s="29" t="s">
        <v>13</v>
      </c>
      <c r="I28" s="1"/>
      <c r="M28" s="87"/>
      <c r="N28" s="84"/>
      <c r="O28" s="91">
        <v>2028</v>
      </c>
      <c r="P28" s="92">
        <f t="shared" si="0"/>
        <v>0.61913585087999978</v>
      </c>
      <c r="Q28" s="92" t="e">
        <f>#REF!</f>
        <v>#REF!</v>
      </c>
      <c r="R28" s="92" t="e">
        <f>#REF!</f>
        <v>#REF!</v>
      </c>
      <c r="S28" s="92" t="e">
        <f>#REF!</f>
        <v>#REF!</v>
      </c>
      <c r="T28" s="90" t="e">
        <f t="shared" si="1"/>
        <v>#REF!</v>
      </c>
      <c r="U28" s="87"/>
    </row>
    <row r="29" spans="2:21" ht="15" customHeight="1" outlineLevel="1">
      <c r="C29" s="5"/>
      <c r="D29" s="5"/>
      <c r="E29" s="5" t="s">
        <v>21</v>
      </c>
      <c r="F29" s="5"/>
      <c r="G29" s="30"/>
      <c r="H29" s="5"/>
      <c r="I29" s="1"/>
      <c r="M29" s="87"/>
      <c r="N29" s="84"/>
      <c r="O29" s="91">
        <v>2029</v>
      </c>
      <c r="P29" s="92">
        <f t="shared" si="0"/>
        <v>1.0517184322559998</v>
      </c>
      <c r="Q29" s="92" t="e">
        <f>#REF!</f>
        <v>#REF!</v>
      </c>
      <c r="R29" s="92" t="e">
        <f>#REF!</f>
        <v>#REF!</v>
      </c>
      <c r="S29" s="92" t="e">
        <f>#REF!</f>
        <v>#REF!</v>
      </c>
      <c r="T29" s="90" t="e">
        <f t="shared" si="1"/>
        <v>#REF!</v>
      </c>
      <c r="U29" s="87"/>
    </row>
    <row r="30" spans="2:21" ht="15" customHeight="1" outlineLevel="1">
      <c r="C30" s="5"/>
      <c r="D30" s="31"/>
      <c r="E30" s="5"/>
      <c r="F30" s="5" t="s">
        <v>12</v>
      </c>
      <c r="G30" s="32">
        <f>SUM(G59,G61)*I93/10000</f>
        <v>29.029444246672398</v>
      </c>
      <c r="H30" s="29" t="s">
        <v>13</v>
      </c>
      <c r="I30" s="1"/>
      <c r="M30" s="87"/>
      <c r="N30" s="84"/>
      <c r="O30" s="91">
        <v>2030</v>
      </c>
      <c r="P30" s="92">
        <f t="shared" si="0"/>
        <v>1.592446658976</v>
      </c>
      <c r="Q30" s="92" t="e">
        <f>#REF!</f>
        <v>#REF!</v>
      </c>
      <c r="R30" s="92" t="e">
        <f>#REF!</f>
        <v>#REF!</v>
      </c>
      <c r="S30" s="92" t="e">
        <f>#REF!</f>
        <v>#REF!</v>
      </c>
      <c r="T30" s="90" t="e">
        <f t="shared" si="1"/>
        <v>#REF!</v>
      </c>
      <c r="U30" s="87"/>
    </row>
    <row r="31" spans="2:21" ht="15" customHeight="1" outlineLevel="1" thickBot="1">
      <c r="C31" s="31"/>
      <c r="D31" s="5"/>
      <c r="E31" s="5"/>
      <c r="F31" s="30"/>
      <c r="G31" s="30"/>
      <c r="H31" s="5"/>
      <c r="I31" s="1"/>
      <c r="M31" s="87"/>
      <c r="N31" s="84"/>
      <c r="O31" s="91">
        <v>2031</v>
      </c>
      <c r="P31" s="92">
        <f t="shared" si="0"/>
        <v>2.3062079182463999</v>
      </c>
      <c r="Q31" s="92" t="e">
        <f>#REF!</f>
        <v>#REF!</v>
      </c>
      <c r="R31" s="92" t="e">
        <f>#REF!</f>
        <v>#REF!</v>
      </c>
      <c r="S31" s="92" t="e">
        <f>#REF!</f>
        <v>#REF!</v>
      </c>
      <c r="T31" s="90" t="e">
        <f t="shared" si="1"/>
        <v>#REF!</v>
      </c>
      <c r="U31" s="87"/>
    </row>
    <row r="32" spans="2:21" ht="15" customHeight="1" outlineLevel="1" thickBot="1">
      <c r="C32" s="33" t="s">
        <v>22</v>
      </c>
      <c r="D32" s="31"/>
      <c r="E32" s="5"/>
      <c r="F32" s="5"/>
      <c r="G32" s="33" t="s">
        <v>23</v>
      </c>
      <c r="H32" s="34">
        <v>2026</v>
      </c>
      <c r="I32" s="4" t="s">
        <v>24</v>
      </c>
      <c r="M32" s="87"/>
      <c r="N32" s="84"/>
      <c r="O32" s="91">
        <v>2032</v>
      </c>
      <c r="P32" s="92">
        <f t="shared" si="0"/>
        <v>3.117516549617088</v>
      </c>
      <c r="Q32" s="92" t="e">
        <f>#REF!</f>
        <v>#REF!</v>
      </c>
      <c r="R32" s="92" t="e">
        <f>#REF!</f>
        <v>#REF!</v>
      </c>
      <c r="S32" s="92" t="e">
        <f>#REF!</f>
        <v>#REF!</v>
      </c>
      <c r="T32" s="90" t="e">
        <f t="shared" si="1"/>
        <v>#REF!</v>
      </c>
      <c r="U32" s="87"/>
    </row>
    <row r="33" spans="1:21" ht="20.100000000000001" customHeight="1" outlineLevel="1" thickBot="1">
      <c r="C33" s="31"/>
      <c r="D33" s="33" t="s">
        <v>12</v>
      </c>
      <c r="E33" s="5"/>
      <c r="F33" s="116">
        <f>F63*VLOOKUP(H32+3,D77:I93,6,FALSE)/10000</f>
        <v>1.0517184322559998</v>
      </c>
      <c r="G33" s="117"/>
      <c r="H33" s="29" t="s">
        <v>13</v>
      </c>
      <c r="M33" s="87"/>
      <c r="N33" s="84"/>
      <c r="O33" s="91">
        <v>2033</v>
      </c>
      <c r="P33" s="92">
        <f t="shared" si="0"/>
        <v>4.0387444149154179</v>
      </c>
      <c r="Q33" s="92" t="e">
        <f>#REF!</f>
        <v>#REF!</v>
      </c>
      <c r="R33" s="92" t="e">
        <f>#REF!</f>
        <v>#REF!</v>
      </c>
      <c r="S33" s="92" t="e">
        <f>#REF!</f>
        <v>#REF!</v>
      </c>
      <c r="T33" s="90" t="e">
        <f t="shared" si="1"/>
        <v>#REF!</v>
      </c>
      <c r="U33" s="87"/>
    </row>
    <row r="34" spans="1:21" ht="20.100000000000001" customHeight="1" outlineLevel="1">
      <c r="C34" s="31"/>
      <c r="D34" s="33"/>
      <c r="E34" s="5"/>
      <c r="F34" s="35"/>
      <c r="G34" s="35"/>
      <c r="H34" s="5"/>
      <c r="M34" s="87"/>
      <c r="N34" s="84"/>
      <c r="O34" s="91">
        <v>2034</v>
      </c>
      <c r="P34" s="92">
        <f t="shared" si="0"/>
        <v>5.0837622746132114</v>
      </c>
      <c r="Q34" s="92" t="e">
        <f>#REF!</f>
        <v>#REF!</v>
      </c>
      <c r="R34" s="92" t="e">
        <f>#REF!</f>
        <v>#REF!</v>
      </c>
      <c r="S34" s="92" t="e">
        <f>#REF!</f>
        <v>#REF!</v>
      </c>
      <c r="T34" s="90" t="e">
        <f t="shared" si="1"/>
        <v>#REF!</v>
      </c>
      <c r="U34" s="87"/>
    </row>
    <row r="35" spans="1:21" ht="20.100000000000001" customHeight="1" outlineLevel="1" thickBot="1">
      <c r="C35" s="5" t="s">
        <v>25</v>
      </c>
      <c r="D35" s="5"/>
      <c r="E35" s="5"/>
      <c r="F35" s="5"/>
      <c r="G35" s="5"/>
      <c r="H35" s="5"/>
      <c r="M35" s="87"/>
      <c r="N35" s="84"/>
      <c r="O35" s="91">
        <v>2035</v>
      </c>
      <c r="P35" s="92">
        <f t="shared" si="0"/>
        <v>6.2437320988777616</v>
      </c>
      <c r="Q35" s="92" t="e">
        <f>#REF!</f>
        <v>#REF!</v>
      </c>
      <c r="R35" s="92" t="e">
        <f>#REF!</f>
        <v>#REF!</v>
      </c>
      <c r="S35" s="92" t="e">
        <f>#REF!</f>
        <v>#REF!</v>
      </c>
      <c r="T35" s="90" t="e">
        <f t="shared" si="1"/>
        <v>#REF!</v>
      </c>
      <c r="U35" s="87"/>
    </row>
    <row r="36" spans="1:21" ht="20.100000000000001" customHeight="1" outlineLevel="1" thickBot="1">
      <c r="C36" s="5"/>
      <c r="D36" s="5" t="s">
        <v>12</v>
      </c>
      <c r="E36" s="5"/>
      <c r="F36" s="175">
        <f>0.0288893952*3994607*5/10000</f>
        <v>57.700890145843196</v>
      </c>
      <c r="G36" s="176"/>
      <c r="H36" s="5" t="s">
        <v>13</v>
      </c>
      <c r="M36" s="87"/>
      <c r="N36" s="84"/>
      <c r="O36" s="91">
        <v>2036</v>
      </c>
      <c r="P36" s="92">
        <f t="shared" si="0"/>
        <v>7.4303223391687672</v>
      </c>
      <c r="Q36" s="92" t="e">
        <f>#REF!</f>
        <v>#REF!</v>
      </c>
      <c r="R36" s="92" t="e">
        <f>#REF!</f>
        <v>#REF!</v>
      </c>
      <c r="S36" s="92" t="e">
        <f>#REF!</f>
        <v>#REF!</v>
      </c>
      <c r="T36" s="90" t="e">
        <f t="shared" si="1"/>
        <v>#REF!</v>
      </c>
      <c r="U36" s="87"/>
    </row>
    <row r="37" spans="1:21" ht="9.9499999999999993" customHeight="1" outlineLevel="1" thickBot="1">
      <c r="C37" s="5"/>
      <c r="D37" s="5"/>
      <c r="E37" s="5"/>
      <c r="F37" s="5"/>
      <c r="G37" s="5"/>
      <c r="H37" s="5"/>
      <c r="M37" s="87"/>
      <c r="N37" s="84"/>
      <c r="O37" s="91">
        <v>2037</v>
      </c>
      <c r="P37" s="92">
        <f t="shared" si="0"/>
        <v>8.6551326937288753</v>
      </c>
      <c r="Q37" s="92" t="e">
        <f>#REF!</f>
        <v>#REF!</v>
      </c>
      <c r="R37" s="92" t="e">
        <f>#REF!</f>
        <v>#REF!</v>
      </c>
      <c r="S37" s="92" t="e">
        <f>#REF!</f>
        <v>#REF!</v>
      </c>
      <c r="T37" s="90" t="e">
        <f t="shared" si="1"/>
        <v>#REF!</v>
      </c>
      <c r="U37" s="87"/>
    </row>
    <row r="38" spans="1:21" ht="52.5" customHeight="1" outlineLevel="1" thickBot="1">
      <c r="C38" s="31"/>
      <c r="D38" s="33" t="s">
        <v>26</v>
      </c>
      <c r="E38" s="5"/>
      <c r="F38" s="120" t="s">
        <v>92</v>
      </c>
      <c r="G38" s="121"/>
      <c r="H38" s="121"/>
      <c r="I38" s="121"/>
      <c r="J38" s="121"/>
      <c r="K38" s="122"/>
      <c r="M38" s="87"/>
      <c r="N38" s="84"/>
      <c r="O38" s="91">
        <v>2038</v>
      </c>
      <c r="P38" s="92">
        <f t="shared" si="0"/>
        <v>9.8480463781449892</v>
      </c>
      <c r="Q38" s="92" t="e">
        <f>#REF!</f>
        <v>#REF!</v>
      </c>
      <c r="R38" s="92" t="e">
        <f>#REF!</f>
        <v>#REF!</v>
      </c>
      <c r="S38" s="92" t="e">
        <f>#REF!</f>
        <v>#REF!</v>
      </c>
      <c r="T38" s="90" t="e">
        <f t="shared" si="1"/>
        <v>#REF!</v>
      </c>
      <c r="U38" s="87"/>
    </row>
    <row r="39" spans="1:21" ht="15" customHeight="1" outlineLevel="1">
      <c r="D39" s="23"/>
      <c r="M39" s="87"/>
      <c r="N39" s="84"/>
      <c r="O39" s="91">
        <v>2039</v>
      </c>
      <c r="P39" s="92">
        <f t="shared" si="0"/>
        <v>11.113775616474719</v>
      </c>
      <c r="Q39" s="92" t="e">
        <f>#REF!</f>
        <v>#REF!</v>
      </c>
      <c r="R39" s="92" t="e">
        <f>#REF!</f>
        <v>#REF!</v>
      </c>
      <c r="S39" s="92" t="e">
        <f>#REF!</f>
        <v>#REF!</v>
      </c>
      <c r="T39" s="90" t="e">
        <f t="shared" si="1"/>
        <v>#REF!</v>
      </c>
      <c r="U39" s="87"/>
    </row>
    <row r="40" spans="1:21" ht="20.100000000000001" customHeight="1" outlineLevel="1">
      <c r="B40" s="28" t="s">
        <v>27</v>
      </c>
      <c r="M40" s="87"/>
      <c r="N40" s="84"/>
      <c r="O40" s="91">
        <v>2040</v>
      </c>
      <c r="P40" s="92">
        <f t="shared" si="0"/>
        <v>12.441190391431022</v>
      </c>
      <c r="Q40" s="92" t="e">
        <f>#REF!</f>
        <v>#REF!</v>
      </c>
      <c r="R40" s="92" t="e">
        <f>#REF!</f>
        <v>#REF!</v>
      </c>
      <c r="S40" s="92" t="e">
        <f>#REF!</f>
        <v>#REF!</v>
      </c>
      <c r="T40" s="90" t="e">
        <f t="shared" si="1"/>
        <v>#REF!</v>
      </c>
      <c r="U40" s="87"/>
    </row>
    <row r="41" spans="1:21" ht="30" customHeight="1" outlineLevel="1" thickBot="1">
      <c r="B41" s="28"/>
      <c r="D41" s="123" t="s">
        <v>28</v>
      </c>
      <c r="E41" s="123"/>
      <c r="F41" s="123"/>
      <c r="G41" s="123"/>
      <c r="H41" s="123"/>
      <c r="I41" s="123"/>
      <c r="J41" s="123"/>
      <c r="K41" s="123"/>
      <c r="M41" s="87"/>
      <c r="N41" s="84"/>
      <c r="O41" s="87"/>
      <c r="P41" s="87"/>
      <c r="Q41" s="87"/>
      <c r="R41" s="87"/>
      <c r="S41" s="87"/>
      <c r="T41" s="87"/>
      <c r="U41" s="87"/>
    </row>
    <row r="42" spans="1:21" ht="399.75" customHeight="1" outlineLevel="1" thickBot="1">
      <c r="D42" s="177" t="s">
        <v>108</v>
      </c>
      <c r="E42" s="178"/>
      <c r="F42" s="178"/>
      <c r="G42" s="178"/>
      <c r="H42" s="178"/>
      <c r="I42" s="178"/>
      <c r="J42" s="178"/>
      <c r="K42" s="179"/>
      <c r="M42" s="87"/>
      <c r="N42" s="84"/>
      <c r="O42" s="87"/>
      <c r="P42" s="87"/>
      <c r="Q42" s="87"/>
      <c r="R42" s="87"/>
      <c r="S42" s="87"/>
      <c r="T42" s="87"/>
      <c r="U42" s="87"/>
    </row>
    <row r="43" spans="1:21" s="5" customFormat="1" ht="15" customHeight="1" outlineLevel="1">
      <c r="A43" s="4"/>
      <c r="M43" s="83"/>
      <c r="N43" s="84"/>
      <c r="O43" s="83" t="s">
        <v>29</v>
      </c>
      <c r="P43" s="83"/>
      <c r="Q43" s="83"/>
      <c r="R43" s="83"/>
      <c r="S43" s="83"/>
      <c r="T43" s="83"/>
      <c r="U43" s="83"/>
    </row>
    <row r="44" spans="1:21" s="5" customFormat="1" ht="15" customHeight="1" outlineLevel="1">
      <c r="A44" s="4"/>
      <c r="E44" s="5" t="s">
        <v>29</v>
      </c>
      <c r="F44" s="5" t="s">
        <v>30</v>
      </c>
      <c r="H44" s="36">
        <f>$Q$44</f>
        <v>8.64</v>
      </c>
      <c r="I44" s="5" t="s">
        <v>31</v>
      </c>
      <c r="M44" s="83"/>
      <c r="N44" s="83"/>
      <c r="O44" s="83" t="s">
        <v>30</v>
      </c>
      <c r="P44" s="83"/>
      <c r="Q44" s="94">
        <v>8.64</v>
      </c>
      <c r="R44" s="83" t="s">
        <v>31</v>
      </c>
      <c r="S44" s="83"/>
      <c r="T44" s="83"/>
      <c r="U44" s="83"/>
    </row>
    <row r="45" spans="1:21" s="5" customFormat="1" ht="15" customHeight="1" outlineLevel="1">
      <c r="A45" s="4"/>
      <c r="F45" s="5" t="s">
        <v>32</v>
      </c>
      <c r="H45" s="36">
        <f>$Q$45</f>
        <v>2.58</v>
      </c>
      <c r="I45" s="5" t="s">
        <v>33</v>
      </c>
      <c r="M45" s="83"/>
      <c r="N45" s="83"/>
      <c r="O45" s="83" t="s">
        <v>32</v>
      </c>
      <c r="P45" s="83"/>
      <c r="Q45" s="95">
        <v>2.58</v>
      </c>
      <c r="R45" s="83" t="s">
        <v>33</v>
      </c>
      <c r="S45" s="83"/>
      <c r="T45" s="83"/>
      <c r="U45" s="83"/>
    </row>
    <row r="46" spans="1:21" s="5" customFormat="1" ht="15" customHeight="1" outlineLevel="1">
      <c r="A46" s="4"/>
      <c r="G46" s="19"/>
      <c r="H46" s="19"/>
      <c r="J46" s="19"/>
      <c r="N46" s="9"/>
    </row>
    <row r="47" spans="1:21" s="5" customFormat="1" ht="15" customHeight="1" outlineLevel="1" thickBot="1">
      <c r="D47" s="5" t="s">
        <v>34</v>
      </c>
      <c r="J47" s="19"/>
      <c r="N47" s="9"/>
    </row>
    <row r="48" spans="1:21" s="5" customFormat="1" ht="45" customHeight="1" outlineLevel="1" thickBot="1">
      <c r="E48" s="37" t="s">
        <v>35</v>
      </c>
      <c r="F48" s="127" t="s">
        <v>89</v>
      </c>
      <c r="G48" s="128"/>
      <c r="H48" s="128"/>
      <c r="I48" s="128"/>
      <c r="J48" s="128"/>
      <c r="K48" s="129"/>
      <c r="N48" s="9"/>
    </row>
    <row r="49" spans="4:16" s="5" customFormat="1" ht="15" customHeight="1" outlineLevel="1" thickBot="1">
      <c r="J49" s="19"/>
      <c r="N49" s="9"/>
    </row>
    <row r="50" spans="4:16" s="5" customFormat="1" ht="15" customHeight="1" outlineLevel="1" thickBot="1">
      <c r="D50" s="38"/>
      <c r="E50" s="5" t="s">
        <v>37</v>
      </c>
      <c r="F50" s="81">
        <v>324</v>
      </c>
      <c r="G50" s="5" t="s">
        <v>38</v>
      </c>
      <c r="J50" s="19"/>
      <c r="N50" s="9"/>
    </row>
    <row r="51" spans="4:16" s="5" customFormat="1" ht="15" customHeight="1" outlineLevel="1" thickBot="1">
      <c r="D51" s="40"/>
      <c r="F51" s="9"/>
      <c r="G51" s="130">
        <f>+F50*H44*H45/100000</f>
        <v>7.2223488000000002E-2</v>
      </c>
      <c r="H51" s="131"/>
      <c r="I51" s="5" t="s">
        <v>39</v>
      </c>
      <c r="J51" s="41" t="s">
        <v>40</v>
      </c>
      <c r="K51" s="38"/>
      <c r="L51" s="38"/>
      <c r="N51" s="9"/>
    </row>
    <row r="52" spans="4:16" s="5" customFormat="1" ht="15" customHeight="1" outlineLevel="1" thickBot="1">
      <c r="D52" s="38"/>
      <c r="E52" s="5" t="s">
        <v>41</v>
      </c>
      <c r="F52" s="42"/>
      <c r="G52" s="5" t="s">
        <v>42</v>
      </c>
      <c r="J52" s="41"/>
      <c r="K52" s="38"/>
      <c r="L52" s="38"/>
      <c r="N52" s="9"/>
    </row>
    <row r="53" spans="4:16" s="5" customFormat="1" ht="15" customHeight="1" outlineLevel="1">
      <c r="D53" s="40"/>
      <c r="G53" s="111">
        <f>+F52*H45/100000</f>
        <v>0</v>
      </c>
      <c r="H53" s="112"/>
      <c r="I53" s="5" t="s">
        <v>39</v>
      </c>
      <c r="J53" s="41" t="s">
        <v>40</v>
      </c>
      <c r="K53" s="38"/>
      <c r="L53" s="38"/>
      <c r="N53" s="9"/>
    </row>
    <row r="54" spans="4:16" s="5" customFormat="1" ht="15" customHeight="1" outlineLevel="1">
      <c r="J54" s="19"/>
      <c r="N54" s="9"/>
    </row>
    <row r="55" spans="4:16" s="5" customFormat="1" ht="15" customHeight="1" outlineLevel="1" thickBot="1">
      <c r="D55" s="5" t="s">
        <v>43</v>
      </c>
      <c r="J55" s="19"/>
      <c r="N55" s="9"/>
    </row>
    <row r="56" spans="4:16" s="5" customFormat="1" ht="45" customHeight="1" outlineLevel="1" thickBot="1">
      <c r="E56" s="37" t="s">
        <v>44</v>
      </c>
      <c r="F56" s="127" t="s">
        <v>90</v>
      </c>
      <c r="G56" s="128"/>
      <c r="H56" s="128"/>
      <c r="I56" s="128"/>
      <c r="J56" s="128"/>
      <c r="K56" s="129"/>
      <c r="N56" s="9"/>
    </row>
    <row r="57" spans="4:16" s="5" customFormat="1" ht="15" customHeight="1" outlineLevel="1" thickBot="1">
      <c r="J57" s="19"/>
      <c r="N57" s="9"/>
    </row>
    <row r="58" spans="4:16" s="5" customFormat="1" ht="15" customHeight="1" outlineLevel="1" thickBot="1">
      <c r="D58" s="38"/>
      <c r="E58" s="5" t="s">
        <v>37</v>
      </c>
      <c r="F58" s="81">
        <v>226.8</v>
      </c>
      <c r="G58" s="43" t="s">
        <v>38</v>
      </c>
      <c r="H58" s="43"/>
      <c r="J58" s="19"/>
      <c r="N58" s="9"/>
    </row>
    <row r="59" spans="4:16" s="5" customFormat="1" ht="15" customHeight="1" outlineLevel="1" thickBot="1">
      <c r="D59" s="40"/>
      <c r="F59" s="9"/>
      <c r="G59" s="111">
        <f>+F58*H44*H45/100000</f>
        <v>5.0556441600000009E-2</v>
      </c>
      <c r="H59" s="112"/>
      <c r="I59" s="5" t="s">
        <v>39</v>
      </c>
      <c r="J59" s="19" t="s">
        <v>46</v>
      </c>
      <c r="K59" s="40"/>
      <c r="L59" s="40"/>
      <c r="N59" s="9"/>
    </row>
    <row r="60" spans="4:16" s="5" customFormat="1" ht="15" customHeight="1" outlineLevel="1" thickBot="1">
      <c r="D60" s="38"/>
      <c r="E60" s="5" t="s">
        <v>41</v>
      </c>
      <c r="F60" s="44"/>
      <c r="G60" s="5" t="s">
        <v>42</v>
      </c>
      <c r="J60" s="19"/>
      <c r="N60" s="9"/>
    </row>
    <row r="61" spans="4:16" s="5" customFormat="1" ht="15" customHeight="1" outlineLevel="1">
      <c r="D61" s="40"/>
      <c r="G61" s="111">
        <f>+F60*H45/100000</f>
        <v>0</v>
      </c>
      <c r="H61" s="112"/>
      <c r="I61" s="5" t="s">
        <v>39</v>
      </c>
      <c r="J61" s="19" t="s">
        <v>46</v>
      </c>
      <c r="K61" s="40"/>
      <c r="L61" s="40"/>
      <c r="N61" s="9"/>
    </row>
    <row r="62" spans="4:16" s="5" customFormat="1" ht="15" customHeight="1" outlineLevel="1" thickBot="1">
      <c r="J62" s="19"/>
      <c r="N62" s="9"/>
    </row>
    <row r="63" spans="4:16" s="5" customFormat="1" ht="15" customHeight="1" outlineLevel="1" thickBot="1">
      <c r="D63" s="5" t="s">
        <v>47</v>
      </c>
      <c r="E63" s="5" t="s">
        <v>48</v>
      </c>
      <c r="F63" s="152">
        <f>SUM(G51,G53)-SUM(G59,G61)</f>
        <v>2.1667046399999994E-2</v>
      </c>
      <c r="G63" s="153"/>
      <c r="H63" s="5" t="s">
        <v>39</v>
      </c>
      <c r="J63" s="19"/>
      <c r="N63" s="9"/>
      <c r="P63" s="45"/>
    </row>
    <row r="64" spans="4:16" ht="6" customHeight="1" outlineLevel="1">
      <c r="F64" s="46"/>
      <c r="G64" s="46"/>
    </row>
    <row r="65" spans="2:11" ht="6" customHeight="1" outlineLevel="1">
      <c r="F65" s="46"/>
      <c r="G65" s="46"/>
    </row>
    <row r="66" spans="2:11" ht="20.100000000000001" customHeight="1" outlineLevel="1">
      <c r="F66" s="46"/>
      <c r="G66" s="46"/>
      <c r="K66" s="7"/>
    </row>
    <row r="67" spans="2:11" ht="20.100000000000001" customHeight="1" outlineLevel="1">
      <c r="B67" s="47" t="s">
        <v>49</v>
      </c>
      <c r="K67" s="7" t="s">
        <v>123</v>
      </c>
    </row>
    <row r="68" spans="2:11" ht="30" customHeight="1" outlineLevel="1" thickBot="1">
      <c r="B68" s="28"/>
      <c r="D68" s="134" t="s">
        <v>28</v>
      </c>
      <c r="E68" s="134"/>
      <c r="F68" s="134"/>
      <c r="G68" s="134"/>
      <c r="H68" s="134"/>
      <c r="I68" s="134"/>
      <c r="J68" s="134"/>
      <c r="K68" s="134"/>
    </row>
    <row r="69" spans="2:11" ht="399.95" customHeight="1" outlineLevel="1" thickBot="1">
      <c r="D69" s="170" t="s">
        <v>109</v>
      </c>
      <c r="E69" s="171"/>
      <c r="F69" s="171"/>
      <c r="G69" s="171"/>
      <c r="H69" s="171"/>
      <c r="I69" s="171"/>
      <c r="J69" s="171"/>
      <c r="K69" s="172"/>
    </row>
    <row r="70" spans="2:11" ht="15" customHeight="1" outlineLevel="1" thickBot="1">
      <c r="D70" s="48"/>
      <c r="E70" s="48"/>
      <c r="F70" s="48"/>
      <c r="G70" s="48"/>
      <c r="H70" s="48"/>
      <c r="I70" s="48"/>
    </row>
    <row r="71" spans="2:11" ht="45" customHeight="1" outlineLevel="1" thickBot="1">
      <c r="D71" s="138" t="s">
        <v>50</v>
      </c>
      <c r="E71" s="139"/>
      <c r="F71" s="140" t="s">
        <v>91</v>
      </c>
      <c r="G71" s="141"/>
      <c r="H71" s="141"/>
      <c r="I71" s="141"/>
      <c r="J71" s="141"/>
      <c r="K71" s="142"/>
    </row>
    <row r="72" spans="2:11" ht="15" customHeight="1" outlineLevel="1">
      <c r="D72" s="48"/>
      <c r="E72" s="48"/>
      <c r="F72" s="48"/>
      <c r="G72" s="48"/>
      <c r="H72" s="48"/>
      <c r="I72" s="48"/>
    </row>
    <row r="73" spans="2:11" ht="20.100000000000001" customHeight="1" outlineLevel="1">
      <c r="D73" s="48"/>
      <c r="E73" s="48"/>
      <c r="F73" s="48"/>
      <c r="G73" s="48"/>
      <c r="H73" s="48"/>
      <c r="I73" s="48"/>
      <c r="J73" s="49" t="s">
        <v>52</v>
      </c>
    </row>
    <row r="74" spans="2:11" ht="20.100000000000001" customHeight="1" outlineLevel="1" thickBot="1">
      <c r="D74" s="4" t="s">
        <v>53</v>
      </c>
      <c r="K74" s="50" t="s">
        <v>2</v>
      </c>
    </row>
    <row r="75" spans="2:11" ht="33" customHeight="1" outlineLevel="1" thickBot="1">
      <c r="D75" s="143" t="s">
        <v>54</v>
      </c>
      <c r="E75" s="51" t="s">
        <v>55</v>
      </c>
      <c r="F75" s="145" t="s">
        <v>56</v>
      </c>
      <c r="G75" s="145"/>
      <c r="H75" s="146" t="s">
        <v>57</v>
      </c>
      <c r="I75" s="148" t="s">
        <v>58</v>
      </c>
      <c r="K75" s="150" t="s">
        <v>59</v>
      </c>
    </row>
    <row r="76" spans="2:11" ht="30" customHeight="1" outlineLevel="1">
      <c r="D76" s="144"/>
      <c r="E76" s="52" t="s">
        <v>60</v>
      </c>
      <c r="F76" s="53" t="s">
        <v>61</v>
      </c>
      <c r="G76" s="54" t="s">
        <v>62</v>
      </c>
      <c r="H76" s="147"/>
      <c r="I76" s="149"/>
      <c r="K76" s="151"/>
    </row>
    <row r="77" spans="2:11" ht="15" customHeight="1" outlineLevel="1">
      <c r="D77" s="55">
        <v>2024</v>
      </c>
      <c r="E77" s="56">
        <v>4000000</v>
      </c>
      <c r="F77" s="57">
        <v>0</v>
      </c>
      <c r="G77" s="58">
        <f>IF(E77="","",F77/E77)</f>
        <v>0</v>
      </c>
      <c r="H77" s="59"/>
      <c r="I77" s="60">
        <f>F77-H77</f>
        <v>0</v>
      </c>
      <c r="K77" s="61">
        <f t="shared" ref="K77:K93" si="2">I77*F$63/10000</f>
        <v>0</v>
      </c>
    </row>
    <row r="78" spans="2:11" ht="15" customHeight="1" outlineLevel="1">
      <c r="D78" s="55">
        <v>2025</v>
      </c>
      <c r="E78" s="56">
        <f>E77*1.01</f>
        <v>4040000</v>
      </c>
      <c r="F78" s="57">
        <v>0</v>
      </c>
      <c r="G78" s="58">
        <f t="shared" ref="G78:G93" si="3">IF(E78="","",F78/E78)</f>
        <v>0</v>
      </c>
      <c r="H78" s="59"/>
      <c r="I78" s="60">
        <f>I77+F78-H78</f>
        <v>0</v>
      </c>
      <c r="K78" s="61">
        <f t="shared" si="2"/>
        <v>0</v>
      </c>
    </row>
    <row r="79" spans="2:11" ht="15" customHeight="1" outlineLevel="1">
      <c r="D79" s="55">
        <v>2026</v>
      </c>
      <c r="E79" s="56">
        <f t="shared" ref="E79:E93" si="4">E78*1.01</f>
        <v>4080400</v>
      </c>
      <c r="F79" s="57">
        <f>750000*1.1*0.05</f>
        <v>41250.000000000007</v>
      </c>
      <c r="G79" s="58">
        <f t="shared" si="3"/>
        <v>1.0109303009508873E-2</v>
      </c>
      <c r="H79" s="59"/>
      <c r="I79" s="60">
        <f t="shared" ref="I79:I92" si="5">I78+F79-H79</f>
        <v>41250.000000000007</v>
      </c>
      <c r="K79" s="61">
        <f t="shared" si="2"/>
        <v>8.9376566399999996E-2</v>
      </c>
    </row>
    <row r="80" spans="2:11" ht="15" customHeight="1" outlineLevel="1">
      <c r="D80" s="55">
        <v>2027</v>
      </c>
      <c r="E80" s="56">
        <f t="shared" si="4"/>
        <v>4121204</v>
      </c>
      <c r="F80" s="57">
        <f>750000*1.1*0.1</f>
        <v>82500.000000000015</v>
      </c>
      <c r="G80" s="58">
        <f t="shared" si="3"/>
        <v>2.0018421801007671E-2</v>
      </c>
      <c r="H80" s="59"/>
      <c r="I80" s="60">
        <f t="shared" si="5"/>
        <v>123750.00000000003</v>
      </c>
      <c r="K80" s="61">
        <f t="shared" si="2"/>
        <v>0.26812969920000002</v>
      </c>
    </row>
    <row r="81" spans="4:11" ht="15" customHeight="1" outlineLevel="1">
      <c r="D81" s="55">
        <v>2028</v>
      </c>
      <c r="E81" s="56">
        <f t="shared" si="4"/>
        <v>4162416.04</v>
      </c>
      <c r="F81" s="57">
        <f>750000*1.2^2*0.15</f>
        <v>162000</v>
      </c>
      <c r="G81" s="58">
        <f t="shared" si="3"/>
        <v>3.8919703951554058E-2</v>
      </c>
      <c r="H81" s="59"/>
      <c r="I81" s="60">
        <f t="shared" si="5"/>
        <v>285750</v>
      </c>
      <c r="K81" s="61">
        <f t="shared" si="2"/>
        <v>0.61913585087999978</v>
      </c>
    </row>
    <row r="82" spans="4:11" ht="15" customHeight="1" outlineLevel="1">
      <c r="D82" s="55">
        <v>2029</v>
      </c>
      <c r="E82" s="56">
        <f t="shared" si="4"/>
        <v>4204040.2004000004</v>
      </c>
      <c r="F82" s="57">
        <f>750000*1.1^3*0.2</f>
        <v>199650.00000000009</v>
      </c>
      <c r="G82" s="58">
        <f t="shared" si="3"/>
        <v>4.7490031132671862E-2</v>
      </c>
      <c r="H82" s="59"/>
      <c r="I82" s="60">
        <f t="shared" si="5"/>
        <v>485400.00000000012</v>
      </c>
      <c r="K82" s="61">
        <f t="shared" si="2"/>
        <v>1.0517184322559998</v>
      </c>
    </row>
    <row r="83" spans="4:11" ht="15" customHeight="1" outlineLevel="1">
      <c r="D83" s="55">
        <v>2030</v>
      </c>
      <c r="E83" s="56">
        <f t="shared" si="4"/>
        <v>4246080.6024040002</v>
      </c>
      <c r="F83" s="57">
        <f>750000*1.1^3*0.25</f>
        <v>249562.50000000009</v>
      </c>
      <c r="G83" s="58">
        <f t="shared" si="3"/>
        <v>5.8774791005782007E-2</v>
      </c>
      <c r="H83" s="59"/>
      <c r="I83" s="60">
        <f t="shared" si="5"/>
        <v>734962.50000000023</v>
      </c>
      <c r="K83" s="61">
        <f t="shared" si="2"/>
        <v>1.592446658976</v>
      </c>
    </row>
    <row r="84" spans="4:11" ht="15" customHeight="1" outlineLevel="1">
      <c r="D84" s="55">
        <v>2031</v>
      </c>
      <c r="E84" s="56">
        <f t="shared" si="4"/>
        <v>4288541.4084280403</v>
      </c>
      <c r="F84" s="57">
        <f>750000*1.1^4*0.3</f>
        <v>329422.50000000006</v>
      </c>
      <c r="G84" s="58">
        <f t="shared" si="3"/>
        <v>7.6814578344190337E-2</v>
      </c>
      <c r="H84" s="59"/>
      <c r="I84" s="60">
        <f t="shared" si="5"/>
        <v>1064385.0000000002</v>
      </c>
      <c r="K84" s="61">
        <f t="shared" si="2"/>
        <v>2.3062079182463999</v>
      </c>
    </row>
    <row r="85" spans="4:11" ht="15" customHeight="1" outlineLevel="1">
      <c r="D85" s="55">
        <v>2032</v>
      </c>
      <c r="E85" s="56">
        <f t="shared" si="4"/>
        <v>4331426.8225123212</v>
      </c>
      <c r="F85" s="57">
        <f>750000*1.1^5*0.31</f>
        <v>374443.57500000013</v>
      </c>
      <c r="G85" s="58">
        <f t="shared" si="3"/>
        <v>8.6448089819699356E-2</v>
      </c>
      <c r="H85" s="59"/>
      <c r="I85" s="60">
        <f t="shared" si="5"/>
        <v>1438828.5750000004</v>
      </c>
      <c r="K85" s="61">
        <f t="shared" si="2"/>
        <v>3.117516549617088</v>
      </c>
    </row>
    <row r="86" spans="4:11" ht="15" customHeight="1" outlineLevel="1">
      <c r="D86" s="55">
        <v>2033</v>
      </c>
      <c r="E86" s="56">
        <f t="shared" si="4"/>
        <v>4374741.0907374443</v>
      </c>
      <c r="F86" s="57">
        <f>750000*1.1^6*0.32</f>
        <v>425174.64000000025</v>
      </c>
      <c r="G86" s="58">
        <f t="shared" si="3"/>
        <v>9.7188526402217118E-2</v>
      </c>
      <c r="H86" s="59"/>
      <c r="I86" s="60">
        <f t="shared" si="5"/>
        <v>1864003.2150000008</v>
      </c>
      <c r="K86" s="61">
        <f t="shared" si="2"/>
        <v>4.0387444149154179</v>
      </c>
    </row>
    <row r="87" spans="4:11" ht="15" customHeight="1" outlineLevel="1">
      <c r="D87" s="55">
        <v>2034</v>
      </c>
      <c r="E87" s="56">
        <f t="shared" si="4"/>
        <v>4418488.501644819</v>
      </c>
      <c r="F87" s="57">
        <f>750000*1.1^7*0.33</f>
        <v>482307.48225000029</v>
      </c>
      <c r="G87" s="58">
        <f t="shared" si="3"/>
        <v>0.10915666795793569</v>
      </c>
      <c r="H87" s="59"/>
      <c r="I87" s="60">
        <f t="shared" si="5"/>
        <v>2346310.6972500011</v>
      </c>
      <c r="K87" s="61">
        <f t="shared" si="2"/>
        <v>5.0837622746132114</v>
      </c>
    </row>
    <row r="88" spans="4:11" ht="15" customHeight="1" outlineLevel="1">
      <c r="D88" s="55">
        <v>2035</v>
      </c>
      <c r="E88" s="56">
        <f t="shared" si="4"/>
        <v>4462673.3866612669</v>
      </c>
      <c r="F88" s="57">
        <f>750000*1.1^8*0.333</f>
        <v>535361.30529750034</v>
      </c>
      <c r="G88" s="58">
        <f t="shared" si="3"/>
        <v>0.11996425884486003</v>
      </c>
      <c r="H88" s="59"/>
      <c r="I88" s="60">
        <f t="shared" si="5"/>
        <v>2881672.0025475016</v>
      </c>
      <c r="K88" s="61">
        <f t="shared" si="2"/>
        <v>6.2437320988777616</v>
      </c>
    </row>
    <row r="89" spans="4:11" ht="15" customHeight="1" outlineLevel="1">
      <c r="D89" s="55">
        <v>2036</v>
      </c>
      <c r="E89" s="56">
        <f t="shared" si="4"/>
        <v>4507300.1205278793</v>
      </c>
      <c r="F89" s="57">
        <f>750000*1.1^9*0.333</f>
        <v>588897.43582725036</v>
      </c>
      <c r="G89" s="58">
        <f t="shared" si="3"/>
        <v>0.13065414329638222</v>
      </c>
      <c r="H89" s="59">
        <f>F79</f>
        <v>41250.000000000007</v>
      </c>
      <c r="I89" s="60">
        <f t="shared" si="5"/>
        <v>3429319.4383747522</v>
      </c>
      <c r="K89" s="61">
        <f t="shared" si="2"/>
        <v>7.4303223391687672</v>
      </c>
    </row>
    <row r="90" spans="4:11" ht="15" customHeight="1" outlineLevel="1">
      <c r="D90" s="55">
        <v>2037</v>
      </c>
      <c r="E90" s="56">
        <f t="shared" si="4"/>
        <v>4552373.1217331579</v>
      </c>
      <c r="F90" s="57">
        <f>750000*1.1^10*0.333</f>
        <v>647787.17940997554</v>
      </c>
      <c r="G90" s="58">
        <f t="shared" si="3"/>
        <v>0.14229659170893116</v>
      </c>
      <c r="H90" s="59">
        <f t="shared" ref="H90:H93" si="6">F80</f>
        <v>82500.000000000015</v>
      </c>
      <c r="I90" s="60">
        <f t="shared" si="5"/>
        <v>3994606.6177847278</v>
      </c>
      <c r="K90" s="61">
        <f t="shared" si="2"/>
        <v>8.6551326937288753</v>
      </c>
    </row>
    <row r="91" spans="4:11" ht="15" customHeight="1" outlineLevel="1">
      <c r="D91" s="55">
        <v>2038</v>
      </c>
      <c r="E91" s="56">
        <f t="shared" si="4"/>
        <v>4597896.8529504891</v>
      </c>
      <c r="F91" s="57">
        <f>750000*1.1^11*0.333</f>
        <v>712565.8973509731</v>
      </c>
      <c r="G91" s="58">
        <f t="shared" si="3"/>
        <v>0.15497648601962802</v>
      </c>
      <c r="H91" s="59">
        <f t="shared" si="6"/>
        <v>162000</v>
      </c>
      <c r="I91" s="60">
        <f t="shared" si="5"/>
        <v>4545172.5151357008</v>
      </c>
      <c r="K91" s="61">
        <f t="shared" si="2"/>
        <v>9.8480463781449892</v>
      </c>
    </row>
    <row r="92" spans="4:11" ht="15" customHeight="1" outlineLevel="1">
      <c r="D92" s="55">
        <v>2039</v>
      </c>
      <c r="E92" s="56">
        <f t="shared" si="4"/>
        <v>4643875.8214799939</v>
      </c>
      <c r="F92" s="57">
        <f>750000*1.1^12*0.333</f>
        <v>783822.48708607047</v>
      </c>
      <c r="G92" s="58">
        <f t="shared" si="3"/>
        <v>0.16878627190256518</v>
      </c>
      <c r="H92" s="59">
        <f t="shared" si="6"/>
        <v>199650.00000000009</v>
      </c>
      <c r="I92" s="60">
        <f t="shared" si="5"/>
        <v>5129345.0022217715</v>
      </c>
      <c r="K92" s="61">
        <f t="shared" si="2"/>
        <v>11.113775616474719</v>
      </c>
    </row>
    <row r="93" spans="4:11" ht="15" customHeight="1" outlineLevel="1" thickBot="1">
      <c r="D93" s="55">
        <v>2040</v>
      </c>
      <c r="E93" s="56">
        <f t="shared" si="4"/>
        <v>4690314.5796947936</v>
      </c>
      <c r="F93" s="57">
        <f>750000*1.1^13*0.333</f>
        <v>862204.73579467752</v>
      </c>
      <c r="G93" s="64">
        <f t="shared" si="3"/>
        <v>0.18382663276517</v>
      </c>
      <c r="H93" s="59">
        <f t="shared" si="6"/>
        <v>249562.50000000009</v>
      </c>
      <c r="I93" s="66">
        <f>I92+F93-H93</f>
        <v>5741987.2380164489</v>
      </c>
      <c r="K93" s="67">
        <f t="shared" si="2"/>
        <v>12.441190391431022</v>
      </c>
    </row>
    <row r="94" spans="4:11" ht="15" customHeight="1" outlineLevel="1">
      <c r="D94" s="68"/>
      <c r="E94" s="69"/>
      <c r="F94" s="70"/>
      <c r="G94" s="69"/>
      <c r="H94" s="69"/>
      <c r="I94" s="71" t="s">
        <v>63</v>
      </c>
      <c r="K94" s="72" t="s">
        <v>64</v>
      </c>
    </row>
    <row r="95" spans="4:11" ht="15" customHeight="1"/>
    <row r="96" spans="4:11" s="5" customFormat="1" ht="6" customHeight="1" outlineLevel="1"/>
    <row r="97" s="4" customFormat="1" ht="20.100000000000001" customHeight="1" outlineLevel="1"/>
    <row r="98" s="4" customFormat="1" ht="20.100000000000001" customHeight="1" outlineLevel="1"/>
    <row r="99" s="4" customFormat="1" ht="15" customHeight="1" outlineLevel="1"/>
    <row r="100" s="4" customFormat="1" ht="15" customHeight="1" outlineLevel="1"/>
    <row r="101" s="4" customFormat="1" ht="15" customHeight="1" outlineLevel="1"/>
    <row r="102" s="4" customFormat="1" ht="20.100000000000001" customHeight="1" outlineLevel="1"/>
    <row r="103" s="4" customFormat="1" ht="15" customHeight="1" outlineLevel="1"/>
    <row r="104" s="4" customFormat="1" ht="15" customHeight="1" outlineLevel="1"/>
    <row r="105" s="4" customFormat="1" ht="15" customHeight="1" outlineLevel="1"/>
    <row r="106" s="4" customFormat="1" ht="15" customHeight="1" outlineLevel="1"/>
    <row r="107" s="4" customFormat="1" ht="15" customHeight="1" outlineLevel="1"/>
    <row r="108" s="4" customFormat="1" ht="15" customHeight="1" outlineLevel="1"/>
    <row r="109" s="4" customFormat="1" ht="20.100000000000001" customHeight="1" outlineLevel="1"/>
    <row r="110" s="4" customFormat="1" ht="20.100000000000001" customHeight="1" outlineLevel="1"/>
    <row r="111" s="4" customFormat="1" ht="20.100000000000001" customHeight="1" outlineLevel="1"/>
    <row r="112" s="4" customFormat="1" ht="20.100000000000001" customHeight="1" outlineLevel="1"/>
    <row r="113" s="4" customFormat="1" ht="9.9499999999999993" customHeight="1" outlineLevel="1"/>
    <row r="114" s="4" customFormat="1" ht="52.5" customHeight="1" outlineLevel="1"/>
    <row r="115" s="4" customFormat="1" ht="15" customHeight="1" outlineLevel="1"/>
    <row r="116" s="4" customFormat="1" ht="20.100000000000001" customHeight="1" outlineLevel="1"/>
    <row r="117" s="4" customFormat="1" ht="30" customHeight="1" outlineLevel="1"/>
    <row r="118" s="4" customFormat="1" ht="399.95" customHeight="1" outlineLevel="1"/>
    <row r="119" s="5" customFormat="1" ht="15" customHeight="1" outlineLevel="1"/>
    <row r="120" s="5" customFormat="1" ht="15" customHeight="1" outlineLevel="1"/>
    <row r="121" s="5" customFormat="1" ht="15" customHeight="1" outlineLevel="1"/>
    <row r="122" s="5" customFormat="1" ht="15" customHeight="1" outlineLevel="1"/>
    <row r="123" s="5" customFormat="1" ht="15" customHeight="1" outlineLevel="1"/>
    <row r="124" s="5" customFormat="1" ht="45" customHeight="1" outlineLevel="1"/>
    <row r="125" s="5" customFormat="1" ht="15" customHeight="1" outlineLevel="1"/>
    <row r="126" s="5" customFormat="1" ht="15" customHeight="1" outlineLevel="1"/>
    <row r="127" s="5" customFormat="1" ht="15" customHeight="1" outlineLevel="1"/>
    <row r="128" s="5" customFormat="1" ht="15" customHeight="1" outlineLevel="1"/>
    <row r="129" s="5" customFormat="1" ht="15" customHeight="1" outlineLevel="1"/>
    <row r="130" s="5" customFormat="1" ht="15" customHeight="1" outlineLevel="1"/>
    <row r="131" s="5" customFormat="1" ht="15" customHeight="1" outlineLevel="1"/>
    <row r="132" s="5" customFormat="1" ht="45" customHeight="1" outlineLevel="1"/>
    <row r="133" s="5" customFormat="1" ht="15" customHeight="1" outlineLevel="1"/>
    <row r="134" s="5" customFormat="1" ht="15" customHeight="1" outlineLevel="1"/>
    <row r="135" s="5" customFormat="1" ht="15" customHeight="1" outlineLevel="1"/>
    <row r="136" s="5" customFormat="1" ht="15" customHeight="1" outlineLevel="1"/>
    <row r="137" s="5" customFormat="1" ht="15" customHeight="1" outlineLevel="1"/>
    <row r="138" s="5" customFormat="1" ht="15" customHeight="1" outlineLevel="1"/>
    <row r="139" s="5" customFormat="1" ht="15" customHeight="1" outlineLevel="1"/>
    <row r="140" s="4" customFormat="1" ht="6" customHeight="1" outlineLevel="1"/>
    <row r="141" s="4" customFormat="1" ht="6" customHeight="1" outlineLevel="1"/>
    <row r="142" s="4" customFormat="1" ht="20.100000000000001" customHeight="1" outlineLevel="1"/>
    <row r="143" s="4" customFormat="1" ht="20.100000000000001" customHeight="1" outlineLevel="1"/>
    <row r="144" s="4" customFormat="1" ht="30" customHeight="1" outlineLevel="1"/>
    <row r="145" s="4" customFormat="1" ht="399.95" customHeight="1" outlineLevel="1"/>
    <row r="146" s="4" customFormat="1" ht="15" customHeight="1" outlineLevel="1"/>
    <row r="147" s="4" customFormat="1" ht="45" customHeight="1" outlineLevel="1"/>
    <row r="148" s="4" customFormat="1" ht="15" customHeight="1" outlineLevel="1"/>
    <row r="149" s="4" customFormat="1" ht="20.100000000000001" customHeight="1" outlineLevel="1"/>
    <row r="150" s="4" customFormat="1" ht="20.100000000000001" customHeight="1" outlineLevel="1"/>
    <row r="151" s="4" customFormat="1" ht="33" customHeight="1" outlineLevel="1"/>
    <row r="152" s="4" customFormat="1" ht="30" customHeight="1" outlineLevel="1"/>
    <row r="153" s="4" customFormat="1" ht="15" customHeight="1" outlineLevel="1"/>
    <row r="154" s="4" customFormat="1" ht="15" customHeight="1" outlineLevel="1"/>
    <row r="155" s="4" customFormat="1" ht="15" customHeight="1" outlineLevel="1"/>
    <row r="156" s="4" customFormat="1" ht="15" customHeight="1" outlineLevel="1"/>
    <row r="157" s="4" customFormat="1" ht="15" customHeight="1" outlineLevel="1"/>
    <row r="158" s="4" customFormat="1" ht="15" customHeight="1" outlineLevel="1"/>
    <row r="159" s="4" customFormat="1" ht="15" customHeight="1" outlineLevel="1"/>
    <row r="160" s="4" customFormat="1" ht="15" customHeight="1" outlineLevel="1"/>
    <row r="161" spans="10:14" ht="15" customHeight="1" outlineLevel="1">
      <c r="J161" s="4"/>
      <c r="N161" s="4"/>
    </row>
    <row r="162" spans="10:14" ht="15" customHeight="1" outlineLevel="1">
      <c r="J162" s="4"/>
      <c r="N162" s="4"/>
    </row>
    <row r="163" spans="10:14" ht="15" customHeight="1" outlineLevel="1">
      <c r="J163" s="4"/>
      <c r="N163" s="4"/>
    </row>
    <row r="164" spans="10:14" ht="15" customHeight="1" outlineLevel="1">
      <c r="J164" s="4"/>
      <c r="N164" s="4"/>
    </row>
    <row r="165" spans="10:14" ht="15" customHeight="1" outlineLevel="1">
      <c r="J165" s="4"/>
      <c r="N165" s="4"/>
    </row>
    <row r="166" spans="10:14" ht="15" customHeight="1" outlineLevel="1">
      <c r="J166" s="4"/>
      <c r="N166" s="4"/>
    </row>
    <row r="167" spans="10:14" ht="15" customHeight="1" outlineLevel="1">
      <c r="J167" s="4"/>
      <c r="N167" s="4"/>
    </row>
    <row r="168" spans="10:14" ht="15" customHeight="1" outlineLevel="1">
      <c r="J168" s="4"/>
      <c r="N168" s="4"/>
    </row>
    <row r="169" spans="10:14" ht="15" customHeight="1" outlineLevel="1">
      <c r="J169" s="4"/>
      <c r="N169" s="4"/>
    </row>
    <row r="170" spans="10:14" ht="15" customHeight="1" outlineLevel="1">
      <c r="J170" s="4"/>
      <c r="N170" s="4"/>
    </row>
    <row r="171" spans="10:14" ht="15" customHeight="1"/>
    <row r="172" spans="10:14" s="5" customFormat="1" ht="6" customHeight="1" outlineLevel="1"/>
    <row r="173" spans="10:14" ht="20.100000000000001" customHeight="1" outlineLevel="1">
      <c r="J173" s="4"/>
      <c r="N173" s="4"/>
    </row>
    <row r="174" spans="10:14" ht="20.100000000000001" customHeight="1" outlineLevel="1">
      <c r="J174" s="4"/>
      <c r="N174" s="4"/>
    </row>
    <row r="175" spans="10:14" ht="15" customHeight="1" outlineLevel="1">
      <c r="J175" s="4"/>
      <c r="N175" s="4"/>
    </row>
    <row r="176" spans="10:14" ht="15" customHeight="1" outlineLevel="1">
      <c r="J176" s="4"/>
      <c r="N176" s="4"/>
    </row>
    <row r="177" s="4" customFormat="1" ht="15" customHeight="1" outlineLevel="1"/>
    <row r="178" s="4" customFormat="1" ht="20.100000000000001" customHeight="1" outlineLevel="1"/>
    <row r="179" s="4" customFormat="1" ht="15" customHeight="1" outlineLevel="1"/>
    <row r="180" s="4" customFormat="1" ht="15" customHeight="1" outlineLevel="1"/>
    <row r="181" s="4" customFormat="1" ht="15" customHeight="1" outlineLevel="1"/>
    <row r="182" s="4" customFormat="1" ht="15" customHeight="1" outlineLevel="1"/>
    <row r="183" s="4" customFormat="1" ht="15" customHeight="1" outlineLevel="1"/>
    <row r="184" s="4" customFormat="1" ht="15" customHeight="1" outlineLevel="1"/>
    <row r="185" s="4" customFormat="1" ht="20.100000000000001" customHeight="1" outlineLevel="1"/>
    <row r="186" s="4" customFormat="1" ht="12.75" customHeight="1" outlineLevel="1"/>
    <row r="187" s="4" customFormat="1" ht="20.100000000000001" customHeight="1" outlineLevel="1"/>
    <row r="188" s="4" customFormat="1" ht="20.100000000000001" customHeight="1" outlineLevel="1"/>
    <row r="189" s="4" customFormat="1" ht="9.9499999999999993" customHeight="1" outlineLevel="1"/>
    <row r="190" s="4" customFormat="1" ht="52.5" customHeight="1" outlineLevel="1"/>
    <row r="191" s="4" customFormat="1" ht="15" customHeight="1" outlineLevel="1"/>
    <row r="192" s="4" customFormat="1" ht="20.100000000000001" customHeight="1" outlineLevel="1"/>
    <row r="193" s="4" customFormat="1" ht="30" customHeight="1" outlineLevel="1"/>
    <row r="194" s="4" customFormat="1" ht="399.95" customHeight="1" outlineLevel="1"/>
    <row r="195" s="5" customFormat="1" ht="15" customHeight="1" outlineLevel="1"/>
    <row r="196" s="5" customFormat="1" ht="15" customHeight="1" outlineLevel="1"/>
    <row r="197" s="5" customFormat="1" ht="15" customHeight="1" outlineLevel="1"/>
    <row r="198" s="5" customFormat="1" ht="15" customHeight="1" outlineLevel="1"/>
    <row r="199" s="5" customFormat="1" ht="15" customHeight="1" outlineLevel="1"/>
    <row r="200" s="5" customFormat="1" ht="45" customHeight="1" outlineLevel="1"/>
    <row r="201" s="5" customFormat="1" ht="15" customHeight="1" outlineLevel="1"/>
    <row r="202" s="5" customFormat="1" ht="15" customHeight="1" outlineLevel="1"/>
    <row r="203" s="5" customFormat="1" ht="15" customHeight="1" outlineLevel="1"/>
    <row r="204" s="5" customFormat="1" ht="15" customHeight="1" outlineLevel="1"/>
    <row r="205" s="5" customFormat="1" ht="15" customHeight="1" outlineLevel="1"/>
    <row r="206" s="5" customFormat="1" ht="15" customHeight="1" outlineLevel="1"/>
    <row r="207" s="5" customFormat="1" ht="15" customHeight="1" outlineLevel="1"/>
    <row r="208" s="5" customFormat="1" ht="45" customHeight="1" outlineLevel="1"/>
    <row r="209" s="5" customFormat="1" ht="15" customHeight="1" outlineLevel="1"/>
    <row r="210" s="5" customFormat="1" ht="15" customHeight="1" outlineLevel="1"/>
    <row r="211" s="5" customFormat="1" ht="15" customHeight="1" outlineLevel="1"/>
    <row r="212" s="5" customFormat="1" ht="15" customHeight="1" outlineLevel="1"/>
    <row r="213" s="5" customFormat="1" ht="15" customHeight="1" outlineLevel="1"/>
    <row r="214" s="5" customFormat="1" ht="15" customHeight="1" outlineLevel="1"/>
    <row r="215" s="5" customFormat="1" ht="15" customHeight="1" outlineLevel="1"/>
    <row r="216" s="4" customFormat="1" ht="6" customHeight="1" outlineLevel="1"/>
    <row r="217" s="4" customFormat="1" ht="6" customHeight="1" outlineLevel="1"/>
    <row r="218" s="4" customFormat="1" ht="20.100000000000001" customHeight="1" outlineLevel="1"/>
    <row r="219" s="4" customFormat="1" ht="20.100000000000001" customHeight="1" outlineLevel="1"/>
    <row r="220" s="4" customFormat="1" ht="30" customHeight="1" outlineLevel="1"/>
    <row r="221" s="4" customFormat="1" ht="399.95" customHeight="1" outlineLevel="1"/>
    <row r="222" s="4" customFormat="1" ht="15" customHeight="1" outlineLevel="1"/>
    <row r="223" s="4" customFormat="1" ht="45" customHeight="1" outlineLevel="1"/>
    <row r="224" s="4" customFormat="1" ht="15" customHeight="1" outlineLevel="1"/>
    <row r="225" s="4" customFormat="1" ht="20.100000000000001" customHeight="1" outlineLevel="1"/>
    <row r="226" s="4" customFormat="1" ht="20.100000000000001" customHeight="1" outlineLevel="1"/>
    <row r="227" s="4" customFormat="1" ht="33" customHeight="1" outlineLevel="1"/>
    <row r="228" s="4" customFormat="1" ht="30" customHeight="1" outlineLevel="1"/>
    <row r="229" s="4" customFormat="1" ht="15" customHeight="1" outlineLevel="1"/>
    <row r="230" s="4" customFormat="1" ht="15" customHeight="1" outlineLevel="1"/>
    <row r="231" s="4" customFormat="1" ht="15" customHeight="1" outlineLevel="1"/>
    <row r="232" s="4" customFormat="1" ht="15" customHeight="1" outlineLevel="1"/>
    <row r="233" s="4" customFormat="1" ht="15" customHeight="1" outlineLevel="1"/>
    <row r="234" s="4" customFormat="1" ht="15" customHeight="1" outlineLevel="1"/>
    <row r="235" s="4" customFormat="1" ht="15" customHeight="1" outlineLevel="1"/>
    <row r="236" s="4" customFormat="1" ht="15" customHeight="1" outlineLevel="1"/>
    <row r="237" s="4" customFormat="1" ht="15" customHeight="1" outlineLevel="1"/>
    <row r="238" s="4" customFormat="1" ht="15" customHeight="1" outlineLevel="1"/>
    <row r="239" s="4" customFormat="1" ht="15" customHeight="1" outlineLevel="1"/>
    <row r="240" s="4" customFormat="1" ht="15" customHeight="1" outlineLevel="1"/>
    <row r="241" spans="10:14" ht="15" customHeight="1" outlineLevel="1">
      <c r="J241" s="4"/>
      <c r="N241" s="4"/>
    </row>
    <row r="242" spans="10:14" ht="15" customHeight="1" outlineLevel="1">
      <c r="J242" s="4"/>
      <c r="N242" s="4"/>
    </row>
    <row r="243" spans="10:14" ht="15" customHeight="1" outlineLevel="1">
      <c r="J243" s="4"/>
      <c r="N243" s="4"/>
    </row>
    <row r="244" spans="10:14" ht="15" customHeight="1" outlineLevel="1">
      <c r="J244" s="4"/>
      <c r="N244" s="4"/>
    </row>
    <row r="245" spans="10:14" ht="15" customHeight="1" outlineLevel="1">
      <c r="J245" s="4"/>
      <c r="N245" s="4"/>
    </row>
    <row r="246" spans="10:14" ht="15" customHeight="1" outlineLevel="1">
      <c r="J246" s="4"/>
      <c r="N246" s="4"/>
    </row>
    <row r="247" spans="10:14" ht="15" customHeight="1"/>
    <row r="248" spans="10:14" ht="6" customHeight="1" outlineLevel="1">
      <c r="J248" s="4"/>
      <c r="N248" s="4"/>
    </row>
    <row r="249" spans="10:14" ht="20.100000000000001" customHeight="1" outlineLevel="1">
      <c r="J249" s="4"/>
      <c r="N249" s="4"/>
    </row>
    <row r="250" spans="10:14" ht="20.100000000000001" customHeight="1" outlineLevel="1">
      <c r="J250" s="4"/>
      <c r="N250" s="4"/>
    </row>
    <row r="251" spans="10:14" ht="15" customHeight="1" outlineLevel="1">
      <c r="J251" s="4"/>
      <c r="N251" s="4"/>
    </row>
    <row r="252" spans="10:14" ht="15" customHeight="1" outlineLevel="1">
      <c r="J252" s="4"/>
      <c r="N252" s="4"/>
    </row>
    <row r="253" spans="10:14" ht="15" customHeight="1" outlineLevel="1">
      <c r="J253" s="4"/>
      <c r="N253" s="4"/>
    </row>
    <row r="254" spans="10:14" ht="20.100000000000001" customHeight="1" outlineLevel="1">
      <c r="J254" s="4"/>
      <c r="N254" s="4"/>
    </row>
    <row r="255" spans="10:14" ht="15" customHeight="1" outlineLevel="1">
      <c r="J255" s="4"/>
      <c r="N255" s="4"/>
    </row>
    <row r="256" spans="10:14" ht="15" customHeight="1" outlineLevel="1">
      <c r="J256" s="4"/>
      <c r="N256" s="4"/>
    </row>
    <row r="257" s="4" customFormat="1" ht="20.100000000000001" customHeight="1" outlineLevel="1"/>
    <row r="258" s="4" customFormat="1" ht="20.100000000000001" customHeight="1" outlineLevel="1"/>
    <row r="259" s="4" customFormat="1" ht="20.100000000000001" customHeight="1" outlineLevel="1"/>
    <row r="260" s="4" customFormat="1" ht="20.100000000000001" customHeight="1" outlineLevel="1"/>
    <row r="261" s="4" customFormat="1" ht="9.9499999999999993" customHeight="1" outlineLevel="1"/>
    <row r="262" s="4" customFormat="1" ht="52.5" customHeight="1" outlineLevel="1"/>
    <row r="263" s="4" customFormat="1" ht="15" customHeight="1" outlineLevel="1"/>
    <row r="264" s="4" customFormat="1" ht="20.100000000000001" customHeight="1" outlineLevel="1"/>
    <row r="265" s="73" customFormat="1" ht="30" customHeight="1" outlineLevel="1"/>
    <row r="266" s="73" customFormat="1" ht="399.95" customHeight="1" outlineLevel="1"/>
    <row r="267" s="73" customFormat="1" ht="13.5" outlineLevel="1"/>
    <row r="268" s="73" customFormat="1" ht="13.5" outlineLevel="1"/>
    <row r="269" s="73" customFormat="1" ht="13.5" outlineLevel="1"/>
    <row r="270" s="73" customFormat="1" ht="13.5" outlineLevel="1"/>
    <row r="271" s="73" customFormat="1" ht="13.5" outlineLevel="1"/>
    <row r="272" s="73" customFormat="1" ht="90" customHeight="1" outlineLevel="1"/>
    <row r="273" s="73" customFormat="1" ht="13.5" outlineLevel="1"/>
    <row r="274" s="73" customFormat="1" ht="13.5" outlineLevel="1"/>
    <row r="275" s="73" customFormat="1" ht="90" customHeight="1" outlineLevel="1"/>
    <row r="276" s="73" customFormat="1" ht="13.5" outlineLevel="1"/>
    <row r="277" s="73" customFormat="1" ht="13.5" outlineLevel="1"/>
    <row r="278" s="73" customFormat="1" ht="13.5" outlineLevel="1"/>
    <row r="279" s="73" customFormat="1" ht="20.100000000000001" customHeight="1" outlineLevel="1"/>
    <row r="280" s="73" customFormat="1" ht="20.100000000000001" customHeight="1" outlineLevel="1"/>
    <row r="281" s="73" customFormat="1" ht="30" customHeight="1" outlineLevel="1"/>
    <row r="282" s="73" customFormat="1" ht="399.95" customHeight="1" outlineLevel="1"/>
    <row r="283" s="73" customFormat="1" ht="15" customHeight="1" outlineLevel="1"/>
    <row r="284" s="73" customFormat="1" ht="45" customHeight="1" outlineLevel="1"/>
    <row r="285" s="73" customFormat="1" ht="15" customHeight="1" outlineLevel="1"/>
    <row r="286" s="73" customFormat="1" ht="20.100000000000001" customHeight="1" outlineLevel="1"/>
    <row r="287" s="73" customFormat="1" ht="20.100000000000001" customHeight="1" outlineLevel="1"/>
    <row r="288" s="73" customFormat="1" ht="33" customHeight="1" outlineLevel="1"/>
    <row r="289" s="73" customFormat="1" ht="30" customHeight="1" outlineLevel="1"/>
    <row r="290" s="73" customFormat="1" ht="15" customHeight="1" outlineLevel="1"/>
    <row r="291" s="73" customFormat="1" ht="15" customHeight="1" outlineLevel="1"/>
    <row r="292" s="73" customFormat="1" ht="15" customHeight="1" outlineLevel="1"/>
    <row r="293" s="73" customFormat="1" ht="15" customHeight="1" outlineLevel="1"/>
    <row r="294" s="73" customFormat="1" ht="15" customHeight="1" outlineLevel="1"/>
    <row r="295" s="73" customFormat="1" ht="15" customHeight="1" outlineLevel="1"/>
    <row r="296" s="73" customFormat="1" ht="15" customHeight="1" outlineLevel="1"/>
    <row r="297" s="73" customFormat="1" ht="15" customHeight="1" outlineLevel="1"/>
    <row r="298" s="73" customFormat="1" ht="15" customHeight="1" outlineLevel="1"/>
    <row r="299" s="73" customFormat="1" ht="15" customHeight="1" outlineLevel="1"/>
    <row r="300" s="73" customFormat="1" ht="15" customHeight="1" outlineLevel="1"/>
    <row r="301" s="73" customFormat="1" ht="15" customHeight="1" outlineLevel="1"/>
    <row r="302" s="73" customFormat="1" ht="15" customHeight="1" outlineLevel="1"/>
    <row r="303" s="73" customFormat="1" ht="15" customHeight="1" outlineLevel="1"/>
    <row r="304" s="73" customFormat="1" ht="15" customHeight="1" outlineLevel="1"/>
    <row r="305" s="73" customFormat="1" ht="15" customHeight="1" outlineLevel="1"/>
    <row r="306" s="73" customFormat="1" ht="15" customHeight="1" outlineLevel="1"/>
    <row r="307" s="73" customFormat="1" ht="15" customHeight="1" outlineLevel="1"/>
    <row r="308" ht="15" customHeight="1"/>
  </sheetData>
  <mergeCells count="28">
    <mergeCell ref="G61:H61"/>
    <mergeCell ref="F63:G63"/>
    <mergeCell ref="D68:K68"/>
    <mergeCell ref="D69:K69"/>
    <mergeCell ref="D71:E71"/>
    <mergeCell ref="F71:K71"/>
    <mergeCell ref="D75:D76"/>
    <mergeCell ref="F75:G75"/>
    <mergeCell ref="H75:H76"/>
    <mergeCell ref="I75:I76"/>
    <mergeCell ref="K75:K76"/>
    <mergeCell ref="G59:H59"/>
    <mergeCell ref="F23:H23"/>
    <mergeCell ref="F26:G26"/>
    <mergeCell ref="F33:G33"/>
    <mergeCell ref="F36:G36"/>
    <mergeCell ref="F38:K38"/>
    <mergeCell ref="D41:K41"/>
    <mergeCell ref="D42:K42"/>
    <mergeCell ref="F48:K48"/>
    <mergeCell ref="G51:H51"/>
    <mergeCell ref="G53:H53"/>
    <mergeCell ref="F56:K56"/>
    <mergeCell ref="B5:K5"/>
    <mergeCell ref="F11:H11"/>
    <mergeCell ref="F13:H13"/>
    <mergeCell ref="C16:K16"/>
    <mergeCell ref="C17:K18"/>
  </mergeCells>
  <phoneticPr fontId="2"/>
  <dataValidations count="1">
    <dataValidation type="list" allowBlank="1" showInputMessage="1" showErrorMessage="1" sqref="H32" xr:uid="{918C39B9-58EB-4089-B76E-B8DF0DBB316B}">
      <formula1>$D$77:$D$93</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2" manualBreakCount="2">
    <brk id="19" max="16383" man="1"/>
    <brk id="6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A09C5-6BBD-441E-B1B9-0FA052779117}">
  <sheetPr>
    <pageSetUpPr fitToPage="1"/>
  </sheetPr>
  <dimension ref="A1:U308"/>
  <sheetViews>
    <sheetView zoomScaleNormal="100" workbookViewId="0"/>
  </sheetViews>
  <sheetFormatPr defaultRowHeight="18.75" outlineLevelRow="1"/>
  <cols>
    <col min="1" max="1" width="1.625" style="4" customWidth="1"/>
    <col min="2" max="3" width="4.25" style="4" customWidth="1"/>
    <col min="4" max="4" width="9" style="4"/>
    <col min="5" max="9" width="17.625" style="4" customWidth="1"/>
    <col min="10" max="10" width="1.625" style="16" customWidth="1"/>
    <col min="11" max="11" width="22.625" style="4" customWidth="1"/>
    <col min="12" max="12" width="1.625" style="4" customWidth="1"/>
    <col min="13" max="13" width="2.625" style="4" customWidth="1"/>
    <col min="14" max="14" width="8.625" style="9" customWidth="1"/>
    <col min="15" max="17" width="8.625" style="4" customWidth="1"/>
    <col min="18" max="25" width="8.125" style="4" customWidth="1"/>
    <col min="26" max="16384" width="9" style="4"/>
  </cols>
  <sheetData>
    <row r="1" spans="2:14" ht="5.25" customHeight="1" thickBot="1">
      <c r="B1" s="1"/>
      <c r="C1" s="1"/>
      <c r="D1" s="1"/>
      <c r="E1" s="1"/>
      <c r="F1" s="1"/>
      <c r="G1" s="1"/>
      <c r="H1" s="1"/>
      <c r="I1" s="1"/>
      <c r="J1" s="2"/>
      <c r="K1" s="1"/>
      <c r="L1" s="1"/>
      <c r="M1" s="1"/>
      <c r="N1" s="3"/>
    </row>
    <row r="2" spans="2:14" ht="15" customHeight="1" thickBot="1">
      <c r="B2" s="1"/>
      <c r="C2" s="1"/>
      <c r="E2" s="5"/>
      <c r="F2" s="3"/>
      <c r="G2" s="6"/>
      <c r="H2" s="1"/>
      <c r="J2" s="7" t="s">
        <v>0</v>
      </c>
      <c r="K2" s="8"/>
      <c r="L2" s="1"/>
      <c r="M2" s="1"/>
      <c r="N2" s="3"/>
    </row>
    <row r="3" spans="2:14" ht="15" customHeight="1">
      <c r="B3" s="1"/>
      <c r="C3" s="1"/>
      <c r="D3" s="9"/>
      <c r="E3" s="5"/>
      <c r="F3" s="6"/>
      <c r="H3" s="1"/>
      <c r="J3" s="2"/>
      <c r="K3" s="7" t="s">
        <v>123</v>
      </c>
      <c r="L3" s="1"/>
      <c r="M3" s="1"/>
      <c r="N3" s="10"/>
    </row>
    <row r="4" spans="2:14" s="5" customFormat="1" ht="15" customHeight="1">
      <c r="B4" s="11" t="s">
        <v>1</v>
      </c>
      <c r="C4" s="6"/>
      <c r="D4" s="6"/>
      <c r="E4" s="10"/>
      <c r="F4" s="6"/>
      <c r="G4" s="6"/>
      <c r="J4" s="12"/>
      <c r="K4" s="6"/>
      <c r="L4" s="6"/>
      <c r="M4" s="13"/>
      <c r="N4" s="3"/>
    </row>
    <row r="5" spans="2:14" ht="20.100000000000001" customHeight="1">
      <c r="B5" s="97" t="s">
        <v>2</v>
      </c>
      <c r="C5" s="97"/>
      <c r="D5" s="97"/>
      <c r="E5" s="97"/>
      <c r="F5" s="97"/>
      <c r="G5" s="97"/>
      <c r="H5" s="97"/>
      <c r="I5" s="97"/>
      <c r="J5" s="97"/>
      <c r="K5" s="97"/>
      <c r="L5" s="1"/>
      <c r="M5" s="14"/>
      <c r="N5" s="3"/>
    </row>
    <row r="6" spans="2:14" ht="20.100000000000001" customHeight="1" thickBot="1">
      <c r="B6" s="15" t="s">
        <v>3</v>
      </c>
      <c r="H6" s="1"/>
      <c r="I6" s="1"/>
    </row>
    <row r="7" spans="2:14" s="5" customFormat="1" ht="15" customHeight="1" thickBot="1">
      <c r="B7" s="17"/>
      <c r="C7" s="5" t="s">
        <v>4</v>
      </c>
      <c r="E7" s="5" t="s">
        <v>5</v>
      </c>
      <c r="G7" s="18" t="s">
        <v>6</v>
      </c>
      <c r="H7" s="6"/>
      <c r="I7" s="6"/>
      <c r="J7" s="19"/>
      <c r="N7" s="9"/>
    </row>
    <row r="8" spans="2:14" s="5" customFormat="1" ht="15" customHeight="1" thickBot="1">
      <c r="B8" s="17"/>
      <c r="E8" s="5" t="s">
        <v>7</v>
      </c>
      <c r="G8" s="18" t="s">
        <v>8</v>
      </c>
      <c r="H8" s="6"/>
      <c r="I8" s="6"/>
      <c r="J8" s="19"/>
      <c r="N8" s="9"/>
    </row>
    <row r="9" spans="2:14" s="5" customFormat="1" ht="15" customHeight="1" thickBot="1">
      <c r="B9" s="17"/>
      <c r="E9" s="5" t="s">
        <v>9</v>
      </c>
      <c r="G9" s="18" t="s">
        <v>78</v>
      </c>
      <c r="H9" s="6"/>
      <c r="I9" s="6"/>
      <c r="J9" s="19"/>
      <c r="N9" s="9"/>
    </row>
    <row r="10" spans="2:14" s="5" customFormat="1" ht="15" customHeight="1" thickBot="1">
      <c r="C10" s="5" t="s">
        <v>11</v>
      </c>
      <c r="J10" s="19"/>
      <c r="N10" s="9"/>
    </row>
    <row r="11" spans="2:14" ht="30" customHeight="1" thickTop="1" thickBot="1">
      <c r="D11" s="5" t="s">
        <v>12</v>
      </c>
      <c r="E11" s="5"/>
      <c r="F11" s="98" t="e">
        <f>F26+#REF!+#REF!+#REF!</f>
        <v>#REF!</v>
      </c>
      <c r="G11" s="99"/>
      <c r="H11" s="100"/>
      <c r="I11" s="4" t="s">
        <v>13</v>
      </c>
    </row>
    <row r="12" spans="2:14" ht="15" customHeight="1" thickTop="1" thickBot="1">
      <c r="C12" s="5" t="s">
        <v>14</v>
      </c>
      <c r="D12" s="5"/>
      <c r="E12" s="5"/>
      <c r="F12" s="5"/>
      <c r="G12" s="5"/>
      <c r="H12" s="5"/>
    </row>
    <row r="13" spans="2:14" ht="20.100000000000001" customHeight="1" thickTop="1" thickBot="1">
      <c r="D13" s="5" t="s">
        <v>12</v>
      </c>
      <c r="E13" s="5"/>
      <c r="F13" s="101" t="e">
        <f>IF(F36+#REF!+#REF!+#REF!=0,"-",F36+#REF!+#REF!+#REF!)</f>
        <v>#REF!</v>
      </c>
      <c r="G13" s="102"/>
      <c r="H13" s="103"/>
      <c r="I13" s="4" t="s">
        <v>13</v>
      </c>
    </row>
    <row r="14" spans="2:14" ht="15" customHeight="1" thickTop="1">
      <c r="C14" s="20"/>
      <c r="D14" s="5"/>
      <c r="E14" s="5"/>
      <c r="F14" s="21" t="e">
        <f>IF(F11&gt;=100,"エラー：過大の可能性がある値が記載されておりますので今一度ご確認ください。","")</f>
        <v>#REF!</v>
      </c>
      <c r="G14" s="22"/>
    </row>
    <row r="15" spans="2:14" ht="399.95" customHeight="1">
      <c r="D15" s="23"/>
    </row>
    <row r="16" spans="2:14" s="5" customFormat="1" ht="15" customHeight="1" thickBot="1">
      <c r="C16" s="104" t="s">
        <v>15</v>
      </c>
      <c r="D16" s="104"/>
      <c r="E16" s="104"/>
      <c r="F16" s="104"/>
      <c r="G16" s="104"/>
      <c r="H16" s="104"/>
      <c r="I16" s="104"/>
      <c r="J16" s="104"/>
      <c r="K16" s="104"/>
      <c r="M16" s="9"/>
      <c r="N16" s="9"/>
    </row>
    <row r="17" spans="2:21" s="5" customFormat="1" ht="150" customHeight="1">
      <c r="C17" s="180" t="s">
        <v>124</v>
      </c>
      <c r="D17" s="181"/>
      <c r="E17" s="181"/>
      <c r="F17" s="181"/>
      <c r="G17" s="181"/>
      <c r="H17" s="181"/>
      <c r="I17" s="181"/>
      <c r="J17" s="181"/>
      <c r="K17" s="182"/>
      <c r="M17" s="93"/>
      <c r="N17" s="93"/>
      <c r="O17" s="93"/>
      <c r="P17" s="93"/>
      <c r="Q17" s="93"/>
      <c r="R17" s="93"/>
      <c r="S17" s="24"/>
    </row>
    <row r="18" spans="2:21" s="5" customFormat="1" ht="150" customHeight="1" thickBot="1">
      <c r="C18" s="183"/>
      <c r="D18" s="184"/>
      <c r="E18" s="184"/>
      <c r="F18" s="184"/>
      <c r="G18" s="184"/>
      <c r="H18" s="184"/>
      <c r="I18" s="184"/>
      <c r="J18" s="184"/>
      <c r="K18" s="185"/>
      <c r="M18" s="93"/>
      <c r="N18" s="93"/>
      <c r="O18" s="93"/>
      <c r="P18" s="93"/>
      <c r="Q18" s="93"/>
      <c r="R18" s="93"/>
    </row>
    <row r="19" spans="2:21" s="5" customFormat="1" ht="6" customHeight="1">
      <c r="D19" s="25"/>
      <c r="J19" s="19"/>
      <c r="M19" s="83"/>
      <c r="N19" s="84"/>
      <c r="O19" s="83"/>
      <c r="P19" s="83"/>
      <c r="Q19" s="83"/>
      <c r="R19" s="83"/>
      <c r="S19" s="83"/>
      <c r="T19" s="83"/>
      <c r="U19" s="83"/>
    </row>
    <row r="20" spans="2:21" s="5" customFormat="1" ht="6" customHeight="1" outlineLevel="1">
      <c r="D20" s="25"/>
      <c r="J20" s="19"/>
      <c r="M20" s="83"/>
      <c r="N20" s="84"/>
      <c r="O20" s="85"/>
      <c r="P20" s="85"/>
      <c r="Q20" s="85"/>
      <c r="R20" s="85"/>
      <c r="S20" s="85"/>
      <c r="T20" s="85"/>
      <c r="U20" s="86"/>
    </row>
    <row r="21" spans="2:21" ht="20.100000000000001" customHeight="1" outlineLevel="1">
      <c r="B21" s="26" t="s">
        <v>16</v>
      </c>
      <c r="C21" s="20"/>
      <c r="D21" s="27"/>
      <c r="K21" s="7"/>
      <c r="M21" s="87"/>
      <c r="N21" s="84" t="s">
        <v>115</v>
      </c>
      <c r="O21" s="85"/>
      <c r="P21" s="85"/>
      <c r="Q21" s="85"/>
      <c r="R21" s="85"/>
      <c r="S21" s="85"/>
      <c r="T21" s="85"/>
      <c r="U21" s="83"/>
    </row>
    <row r="22" spans="2:21" ht="20.100000000000001" customHeight="1" outlineLevel="1" thickBot="1">
      <c r="B22" s="28" t="s">
        <v>17</v>
      </c>
      <c r="H22" s="1"/>
      <c r="K22" s="7" t="s">
        <v>123</v>
      </c>
      <c r="M22" s="87"/>
      <c r="N22" s="84"/>
      <c r="O22" s="84"/>
      <c r="P22" s="87" t="s">
        <v>116</v>
      </c>
      <c r="Q22" s="87" t="s">
        <v>117</v>
      </c>
      <c r="R22" s="87" t="s">
        <v>118</v>
      </c>
      <c r="S22" s="87" t="s">
        <v>119</v>
      </c>
      <c r="T22" s="87"/>
      <c r="U22" s="87"/>
    </row>
    <row r="23" spans="2:21" ht="15" customHeight="1" outlineLevel="1" thickBot="1">
      <c r="B23" s="28"/>
      <c r="C23" s="5" t="s">
        <v>18</v>
      </c>
      <c r="D23" s="5"/>
      <c r="E23" s="5"/>
      <c r="F23" s="113" t="s">
        <v>93</v>
      </c>
      <c r="G23" s="114"/>
      <c r="H23" s="115"/>
      <c r="I23" s="1"/>
      <c r="M23" s="87"/>
      <c r="N23" s="84"/>
      <c r="O23" s="88"/>
      <c r="P23" s="89" t="str">
        <f>IF(F23="","",F23)</f>
        <v>高効率ガスタービン</v>
      </c>
      <c r="Q23" s="89" t="e">
        <f>IF(#REF!="","",#REF!)</f>
        <v>#REF!</v>
      </c>
      <c r="R23" s="89" t="e">
        <f>IF(#REF!="","",#REF!)</f>
        <v>#REF!</v>
      </c>
      <c r="S23" s="89" t="e">
        <f>IF(#REF!="","",#REF!)</f>
        <v>#REF!</v>
      </c>
      <c r="T23" s="90" t="s">
        <v>120</v>
      </c>
      <c r="U23" s="87"/>
    </row>
    <row r="24" spans="2:21" ht="15" customHeight="1" outlineLevel="1">
      <c r="B24" s="28"/>
      <c r="C24" s="5"/>
      <c r="D24" s="5"/>
      <c r="E24" s="6"/>
      <c r="F24" s="6"/>
      <c r="G24" s="6"/>
      <c r="H24" s="6"/>
      <c r="I24" s="1"/>
      <c r="M24" s="87"/>
      <c r="N24" s="84"/>
      <c r="O24" s="91">
        <v>2024</v>
      </c>
      <c r="P24" s="92">
        <f t="shared" ref="P24:P40" si="0">K77</f>
        <v>0</v>
      </c>
      <c r="Q24" s="92" t="e">
        <f>#REF!</f>
        <v>#REF!</v>
      </c>
      <c r="R24" s="92" t="e">
        <f>#REF!</f>
        <v>#REF!</v>
      </c>
      <c r="S24" s="92" t="e">
        <f>#REF!</f>
        <v>#REF!</v>
      </c>
      <c r="T24" s="90" t="e">
        <f>SUM(P24:S24)</f>
        <v>#REF!</v>
      </c>
      <c r="U24" s="87"/>
    </row>
    <row r="25" spans="2:21" ht="15" customHeight="1" outlineLevel="1" thickBot="1">
      <c r="C25" s="5" t="s">
        <v>11</v>
      </c>
      <c r="D25" s="5"/>
      <c r="E25" s="5"/>
      <c r="F25" s="5"/>
      <c r="G25" s="5"/>
      <c r="H25" s="5"/>
      <c r="I25" s="1"/>
      <c r="M25" s="87"/>
      <c r="N25" s="84"/>
      <c r="O25" s="91">
        <v>2025</v>
      </c>
      <c r="P25" s="92">
        <f t="shared" si="0"/>
        <v>0</v>
      </c>
      <c r="Q25" s="92" t="e">
        <f>#REF!</f>
        <v>#REF!</v>
      </c>
      <c r="R25" s="92" t="e">
        <f>#REF!</f>
        <v>#REF!</v>
      </c>
      <c r="S25" s="92" t="e">
        <f>#REF!</f>
        <v>#REF!</v>
      </c>
      <c r="T25" s="90" t="e">
        <f t="shared" ref="T25:T40" si="1">SUM(P25:S25)</f>
        <v>#REF!</v>
      </c>
      <c r="U25" s="87"/>
    </row>
    <row r="26" spans="2:21" ht="20.100000000000001" customHeight="1" outlineLevel="1" thickBot="1">
      <c r="C26" s="5"/>
      <c r="D26" s="5" t="s">
        <v>12</v>
      </c>
      <c r="E26" s="5"/>
      <c r="F26" s="116">
        <f>F63*I93/10000</f>
        <v>17.181495810000037</v>
      </c>
      <c r="G26" s="117"/>
      <c r="H26" s="29" t="s">
        <v>13</v>
      </c>
      <c r="I26" s="1"/>
      <c r="M26" s="87"/>
      <c r="N26" s="84"/>
      <c r="O26" s="91">
        <v>2026</v>
      </c>
      <c r="P26" s="92">
        <f t="shared" si="0"/>
        <v>0</v>
      </c>
      <c r="Q26" s="92" t="e">
        <f>#REF!</f>
        <v>#REF!</v>
      </c>
      <c r="R26" s="92" t="e">
        <f>#REF!</f>
        <v>#REF!</v>
      </c>
      <c r="S26" s="92" t="e">
        <f>#REF!</f>
        <v>#REF!</v>
      </c>
      <c r="T26" s="90" t="e">
        <f t="shared" si="1"/>
        <v>#REF!</v>
      </c>
      <c r="U26" s="87"/>
    </row>
    <row r="27" spans="2:21" ht="15" customHeight="1" outlineLevel="1">
      <c r="C27" s="5"/>
      <c r="D27" s="5"/>
      <c r="E27" s="5" t="s">
        <v>20</v>
      </c>
      <c r="F27" s="30"/>
      <c r="G27" s="30"/>
      <c r="H27" s="5"/>
      <c r="I27" s="1"/>
      <c r="M27" s="87"/>
      <c r="N27" s="84"/>
      <c r="O27" s="91">
        <v>2027</v>
      </c>
      <c r="P27" s="92">
        <f t="shared" si="0"/>
        <v>0.5727165270000012</v>
      </c>
      <c r="Q27" s="92" t="e">
        <f>#REF!</f>
        <v>#REF!</v>
      </c>
      <c r="R27" s="92" t="e">
        <f>#REF!</f>
        <v>#REF!</v>
      </c>
      <c r="S27" s="92" t="e">
        <f>#REF!</f>
        <v>#REF!</v>
      </c>
      <c r="T27" s="90" t="e">
        <f t="shared" si="1"/>
        <v>#REF!</v>
      </c>
      <c r="U27" s="87"/>
    </row>
    <row r="28" spans="2:21" ht="15" customHeight="1" outlineLevel="1">
      <c r="C28" s="5"/>
      <c r="D28" s="5"/>
      <c r="E28" s="31"/>
      <c r="F28" s="5" t="s">
        <v>12</v>
      </c>
      <c r="G28" s="32">
        <f>SUM(G51,G53)*I93/10000</f>
        <v>214.87936608000001</v>
      </c>
      <c r="H28" s="29" t="s">
        <v>13</v>
      </c>
      <c r="I28" s="1"/>
      <c r="M28" s="87"/>
      <c r="N28" s="84"/>
      <c r="O28" s="91">
        <v>2028</v>
      </c>
      <c r="P28" s="92">
        <f t="shared" si="0"/>
        <v>1.1454330540000024</v>
      </c>
      <c r="Q28" s="92" t="e">
        <f>#REF!</f>
        <v>#REF!</v>
      </c>
      <c r="R28" s="92" t="e">
        <f>#REF!</f>
        <v>#REF!</v>
      </c>
      <c r="S28" s="92" t="e">
        <f>#REF!</f>
        <v>#REF!</v>
      </c>
      <c r="T28" s="90" t="e">
        <f t="shared" si="1"/>
        <v>#REF!</v>
      </c>
      <c r="U28" s="87"/>
    </row>
    <row r="29" spans="2:21" ht="15" customHeight="1" outlineLevel="1">
      <c r="C29" s="5"/>
      <c r="D29" s="5"/>
      <c r="E29" s="5" t="s">
        <v>21</v>
      </c>
      <c r="F29" s="5"/>
      <c r="G29" s="30"/>
      <c r="H29" s="5"/>
      <c r="I29" s="1"/>
      <c r="M29" s="87"/>
      <c r="N29" s="84"/>
      <c r="O29" s="91">
        <v>2029</v>
      </c>
      <c r="P29" s="92">
        <f t="shared" si="0"/>
        <v>1.7181495810000036</v>
      </c>
      <c r="Q29" s="92" t="e">
        <f>#REF!</f>
        <v>#REF!</v>
      </c>
      <c r="R29" s="92" t="e">
        <f>#REF!</f>
        <v>#REF!</v>
      </c>
      <c r="S29" s="92" t="e">
        <f>#REF!</f>
        <v>#REF!</v>
      </c>
      <c r="T29" s="90" t="e">
        <f t="shared" si="1"/>
        <v>#REF!</v>
      </c>
      <c r="U29" s="87"/>
    </row>
    <row r="30" spans="2:21" ht="15" customHeight="1" outlineLevel="1">
      <c r="C30" s="5"/>
      <c r="D30" s="31"/>
      <c r="E30" s="5"/>
      <c r="F30" s="5" t="s">
        <v>12</v>
      </c>
      <c r="G30" s="32">
        <f>SUM(G59,G61)*I93/10000</f>
        <v>197.69787026999998</v>
      </c>
      <c r="H30" s="29" t="s">
        <v>13</v>
      </c>
      <c r="I30" s="1"/>
      <c r="M30" s="87"/>
      <c r="N30" s="84"/>
      <c r="O30" s="91">
        <v>2030</v>
      </c>
      <c r="P30" s="92">
        <f t="shared" si="0"/>
        <v>2.2908661080000048</v>
      </c>
      <c r="Q30" s="92" t="e">
        <f>#REF!</f>
        <v>#REF!</v>
      </c>
      <c r="R30" s="92" t="e">
        <f>#REF!</f>
        <v>#REF!</v>
      </c>
      <c r="S30" s="92" t="e">
        <f>#REF!</f>
        <v>#REF!</v>
      </c>
      <c r="T30" s="90" t="e">
        <f t="shared" si="1"/>
        <v>#REF!</v>
      </c>
      <c r="U30" s="87"/>
    </row>
    <row r="31" spans="2:21" ht="15" customHeight="1" outlineLevel="1" thickBot="1">
      <c r="C31" s="31"/>
      <c r="D31" s="5"/>
      <c r="E31" s="5"/>
      <c r="F31" s="30"/>
      <c r="G31" s="30"/>
      <c r="H31" s="5"/>
      <c r="I31" s="1"/>
      <c r="M31" s="87"/>
      <c r="N31" s="84"/>
      <c r="O31" s="91">
        <v>2031</v>
      </c>
      <c r="P31" s="92">
        <f t="shared" si="0"/>
        <v>2.863582635000006</v>
      </c>
      <c r="Q31" s="92" t="e">
        <f>#REF!</f>
        <v>#REF!</v>
      </c>
      <c r="R31" s="92" t="e">
        <f>#REF!</f>
        <v>#REF!</v>
      </c>
      <c r="S31" s="92" t="e">
        <f>#REF!</f>
        <v>#REF!</v>
      </c>
      <c r="T31" s="90" t="e">
        <f t="shared" si="1"/>
        <v>#REF!</v>
      </c>
      <c r="U31" s="87"/>
    </row>
    <row r="32" spans="2:21" ht="15" customHeight="1" outlineLevel="1" thickBot="1">
      <c r="C32" s="33" t="s">
        <v>22</v>
      </c>
      <c r="D32" s="31"/>
      <c r="E32" s="5"/>
      <c r="F32" s="5"/>
      <c r="G32" s="33" t="s">
        <v>23</v>
      </c>
      <c r="H32" s="34">
        <v>2027</v>
      </c>
      <c r="I32" s="4" t="s">
        <v>24</v>
      </c>
      <c r="M32" s="87"/>
      <c r="N32" s="84"/>
      <c r="O32" s="91">
        <v>2032</v>
      </c>
      <c r="P32" s="92">
        <f t="shared" si="0"/>
        <v>4.0090156890000088</v>
      </c>
      <c r="Q32" s="92" t="e">
        <f>#REF!</f>
        <v>#REF!</v>
      </c>
      <c r="R32" s="92" t="e">
        <f>#REF!</f>
        <v>#REF!</v>
      </c>
      <c r="S32" s="92" t="e">
        <f>#REF!</f>
        <v>#REF!</v>
      </c>
      <c r="T32" s="90" t="e">
        <f t="shared" si="1"/>
        <v>#REF!</v>
      </c>
      <c r="U32" s="87"/>
    </row>
    <row r="33" spans="1:21" ht="20.100000000000001" customHeight="1" outlineLevel="1" thickBot="1">
      <c r="C33" s="31"/>
      <c r="D33" s="33" t="s">
        <v>12</v>
      </c>
      <c r="E33" s="5"/>
      <c r="F33" s="116">
        <f>F63*VLOOKUP(H32+3,D77:I93,6,FALSE)/10000</f>
        <v>2.2908661080000048</v>
      </c>
      <c r="G33" s="117"/>
      <c r="H33" s="29" t="s">
        <v>13</v>
      </c>
      <c r="M33" s="87"/>
      <c r="N33" s="84"/>
      <c r="O33" s="91">
        <v>2033</v>
      </c>
      <c r="P33" s="92">
        <f t="shared" si="0"/>
        <v>5.1544487430000112</v>
      </c>
      <c r="Q33" s="92" t="e">
        <f>#REF!</f>
        <v>#REF!</v>
      </c>
      <c r="R33" s="92" t="e">
        <f>#REF!</f>
        <v>#REF!</v>
      </c>
      <c r="S33" s="92" t="e">
        <f>#REF!</f>
        <v>#REF!</v>
      </c>
      <c r="T33" s="90" t="e">
        <f t="shared" si="1"/>
        <v>#REF!</v>
      </c>
      <c r="U33" s="87"/>
    </row>
    <row r="34" spans="1:21" ht="20.100000000000001" customHeight="1" outlineLevel="1">
      <c r="C34" s="31"/>
      <c r="D34" s="33"/>
      <c r="E34" s="5"/>
      <c r="F34" s="35"/>
      <c r="G34" s="35"/>
      <c r="H34" s="5"/>
      <c r="M34" s="87"/>
      <c r="N34" s="84"/>
      <c r="O34" s="91">
        <v>2034</v>
      </c>
      <c r="P34" s="92">
        <f t="shared" si="0"/>
        <v>6.2998817970000136</v>
      </c>
      <c r="Q34" s="92" t="e">
        <f>#REF!</f>
        <v>#REF!</v>
      </c>
      <c r="R34" s="92" t="e">
        <f>#REF!</f>
        <v>#REF!</v>
      </c>
      <c r="S34" s="92" t="e">
        <f>#REF!</f>
        <v>#REF!</v>
      </c>
      <c r="T34" s="90" t="e">
        <f t="shared" si="1"/>
        <v>#REF!</v>
      </c>
      <c r="U34" s="87"/>
    </row>
    <row r="35" spans="1:21" ht="20.100000000000001" customHeight="1" outlineLevel="1" thickBot="1">
      <c r="C35" s="5" t="s">
        <v>25</v>
      </c>
      <c r="D35" s="5"/>
      <c r="E35" s="5"/>
      <c r="F35" s="5"/>
      <c r="G35" s="5"/>
      <c r="H35" s="5"/>
      <c r="M35" s="87"/>
      <c r="N35" s="84"/>
      <c r="O35" s="91">
        <v>2035</v>
      </c>
      <c r="P35" s="92">
        <f t="shared" si="0"/>
        <v>7.445314851000016</v>
      </c>
      <c r="Q35" s="92" t="e">
        <f>#REF!</f>
        <v>#REF!</v>
      </c>
      <c r="R35" s="92" t="e">
        <f>#REF!</f>
        <v>#REF!</v>
      </c>
      <c r="S35" s="92" t="e">
        <f>#REF!</f>
        <v>#REF!</v>
      </c>
      <c r="T35" s="90" t="e">
        <f t="shared" si="1"/>
        <v>#REF!</v>
      </c>
      <c r="U35" s="87"/>
    </row>
    <row r="36" spans="1:21" ht="20.100000000000001" customHeight="1" outlineLevel="1" thickBot="1">
      <c r="C36" s="5"/>
      <c r="D36" s="5" t="s">
        <v>12</v>
      </c>
      <c r="E36" s="5"/>
      <c r="F36" s="118">
        <f>5727.2*13/10000</f>
        <v>7.4453599999999991</v>
      </c>
      <c r="G36" s="119"/>
      <c r="H36" s="5" t="s">
        <v>13</v>
      </c>
      <c r="M36" s="87"/>
      <c r="N36" s="84"/>
      <c r="O36" s="91">
        <v>2036</v>
      </c>
      <c r="P36" s="92">
        <f t="shared" si="0"/>
        <v>9.1634644320000191</v>
      </c>
      <c r="Q36" s="92" t="e">
        <f>#REF!</f>
        <v>#REF!</v>
      </c>
      <c r="R36" s="92" t="e">
        <f>#REF!</f>
        <v>#REF!</v>
      </c>
      <c r="S36" s="92" t="e">
        <f>#REF!</f>
        <v>#REF!</v>
      </c>
      <c r="T36" s="90" t="e">
        <f t="shared" si="1"/>
        <v>#REF!</v>
      </c>
      <c r="U36" s="87"/>
    </row>
    <row r="37" spans="1:21" ht="9.9499999999999993" customHeight="1" outlineLevel="1" thickBot="1">
      <c r="C37" s="5"/>
      <c r="D37" s="5"/>
      <c r="E37" s="5"/>
      <c r="F37" s="5"/>
      <c r="G37" s="5"/>
      <c r="H37" s="5"/>
      <c r="M37" s="87"/>
      <c r="N37" s="84"/>
      <c r="O37" s="91">
        <v>2037</v>
      </c>
      <c r="P37" s="92">
        <f t="shared" si="0"/>
        <v>10.881614013000023</v>
      </c>
      <c r="Q37" s="92" t="e">
        <f>#REF!</f>
        <v>#REF!</v>
      </c>
      <c r="R37" s="92" t="e">
        <f>#REF!</f>
        <v>#REF!</v>
      </c>
      <c r="S37" s="92" t="e">
        <f>#REF!</f>
        <v>#REF!</v>
      </c>
      <c r="T37" s="90" t="e">
        <f t="shared" si="1"/>
        <v>#REF!</v>
      </c>
      <c r="U37" s="87"/>
    </row>
    <row r="38" spans="1:21" ht="52.5" customHeight="1" outlineLevel="1" thickBot="1">
      <c r="C38" s="31"/>
      <c r="D38" s="33" t="s">
        <v>26</v>
      </c>
      <c r="E38" s="5"/>
      <c r="F38" s="120" t="s">
        <v>110</v>
      </c>
      <c r="G38" s="121"/>
      <c r="H38" s="121"/>
      <c r="I38" s="121"/>
      <c r="J38" s="121"/>
      <c r="K38" s="122"/>
      <c r="M38" s="87"/>
      <c r="N38" s="84"/>
      <c r="O38" s="91">
        <v>2038</v>
      </c>
      <c r="P38" s="92">
        <f t="shared" si="0"/>
        <v>12.599763594000027</v>
      </c>
      <c r="Q38" s="92" t="e">
        <f>#REF!</f>
        <v>#REF!</v>
      </c>
      <c r="R38" s="92" t="e">
        <f>#REF!</f>
        <v>#REF!</v>
      </c>
      <c r="S38" s="92" t="e">
        <f>#REF!</f>
        <v>#REF!</v>
      </c>
      <c r="T38" s="90" t="e">
        <f t="shared" si="1"/>
        <v>#REF!</v>
      </c>
      <c r="U38" s="87"/>
    </row>
    <row r="39" spans="1:21" ht="15" customHeight="1" outlineLevel="1">
      <c r="D39" s="23"/>
      <c r="M39" s="87"/>
      <c r="N39" s="84"/>
      <c r="O39" s="91">
        <v>2039</v>
      </c>
      <c r="P39" s="92">
        <f t="shared" si="0"/>
        <v>14.890629702000032</v>
      </c>
      <c r="Q39" s="92" t="e">
        <f>#REF!</f>
        <v>#REF!</v>
      </c>
      <c r="R39" s="92" t="e">
        <f>#REF!</f>
        <v>#REF!</v>
      </c>
      <c r="S39" s="92" t="e">
        <f>#REF!</f>
        <v>#REF!</v>
      </c>
      <c r="T39" s="90" t="e">
        <f t="shared" si="1"/>
        <v>#REF!</v>
      </c>
      <c r="U39" s="87"/>
    </row>
    <row r="40" spans="1:21" ht="20.100000000000001" customHeight="1" outlineLevel="1">
      <c r="B40" s="28" t="s">
        <v>27</v>
      </c>
      <c r="M40" s="87"/>
      <c r="N40" s="84"/>
      <c r="O40" s="91">
        <v>2040</v>
      </c>
      <c r="P40" s="92">
        <f t="shared" si="0"/>
        <v>17.181495810000037</v>
      </c>
      <c r="Q40" s="92" t="e">
        <f>#REF!</f>
        <v>#REF!</v>
      </c>
      <c r="R40" s="92" t="e">
        <f>#REF!</f>
        <v>#REF!</v>
      </c>
      <c r="S40" s="92" t="e">
        <f>#REF!</f>
        <v>#REF!</v>
      </c>
      <c r="T40" s="90" t="e">
        <f t="shared" si="1"/>
        <v>#REF!</v>
      </c>
      <c r="U40" s="87"/>
    </row>
    <row r="41" spans="1:21" ht="30" customHeight="1" outlineLevel="1" thickBot="1">
      <c r="B41" s="28"/>
      <c r="D41" s="123" t="s">
        <v>28</v>
      </c>
      <c r="E41" s="123"/>
      <c r="F41" s="123"/>
      <c r="G41" s="123"/>
      <c r="H41" s="123"/>
      <c r="I41" s="123"/>
      <c r="J41" s="123"/>
      <c r="K41" s="123"/>
      <c r="M41" s="87"/>
      <c r="N41" s="84"/>
      <c r="O41" s="87"/>
      <c r="P41" s="87"/>
      <c r="Q41" s="87"/>
      <c r="R41" s="87"/>
      <c r="S41" s="87"/>
      <c r="T41" s="87"/>
      <c r="U41" s="87"/>
    </row>
    <row r="42" spans="1:21" ht="399.75" customHeight="1" outlineLevel="1" thickBot="1">
      <c r="D42" s="170" t="s">
        <v>111</v>
      </c>
      <c r="E42" s="171"/>
      <c r="F42" s="171"/>
      <c r="G42" s="171"/>
      <c r="H42" s="171"/>
      <c r="I42" s="171"/>
      <c r="J42" s="171"/>
      <c r="K42" s="172"/>
      <c r="M42" s="87"/>
      <c r="N42" s="84"/>
      <c r="O42" s="87"/>
      <c r="P42" s="87"/>
      <c r="Q42" s="87"/>
      <c r="R42" s="87"/>
      <c r="S42" s="87"/>
      <c r="T42" s="87"/>
      <c r="U42" s="87"/>
    </row>
    <row r="43" spans="1:21" s="5" customFormat="1" ht="15" customHeight="1" outlineLevel="1">
      <c r="A43" s="4"/>
      <c r="M43" s="83"/>
      <c r="N43" s="84"/>
      <c r="O43" s="83" t="s">
        <v>29</v>
      </c>
      <c r="P43" s="83"/>
      <c r="Q43" s="83"/>
      <c r="R43" s="83"/>
      <c r="S43" s="83"/>
      <c r="T43" s="83"/>
      <c r="U43" s="83"/>
    </row>
    <row r="44" spans="1:21" s="5" customFormat="1" ht="15" customHeight="1" outlineLevel="1">
      <c r="A44" s="4"/>
      <c r="E44" s="5" t="s">
        <v>29</v>
      </c>
      <c r="F44" s="5" t="s">
        <v>30</v>
      </c>
      <c r="H44" s="36">
        <f>$Q$44</f>
        <v>8.64</v>
      </c>
      <c r="I44" s="5" t="s">
        <v>31</v>
      </c>
      <c r="M44" s="83"/>
      <c r="N44" s="83"/>
      <c r="O44" s="83" t="s">
        <v>30</v>
      </c>
      <c r="P44" s="83"/>
      <c r="Q44" s="94">
        <v>8.64</v>
      </c>
      <c r="R44" s="83" t="s">
        <v>31</v>
      </c>
      <c r="S44" s="83"/>
      <c r="T44" s="83"/>
      <c r="U44" s="83"/>
    </row>
    <row r="45" spans="1:21" s="5" customFormat="1" ht="15" customHeight="1" outlineLevel="1">
      <c r="A45" s="4"/>
      <c r="F45" s="5" t="s">
        <v>32</v>
      </c>
      <c r="H45" s="36">
        <f>$Q$45</f>
        <v>2.58</v>
      </c>
      <c r="I45" s="5" t="s">
        <v>33</v>
      </c>
      <c r="M45" s="83"/>
      <c r="N45" s="83"/>
      <c r="O45" s="83" t="s">
        <v>32</v>
      </c>
      <c r="P45" s="83"/>
      <c r="Q45" s="95">
        <v>2.58</v>
      </c>
      <c r="R45" s="83" t="s">
        <v>33</v>
      </c>
      <c r="S45" s="83"/>
      <c r="T45" s="83"/>
      <c r="U45" s="83"/>
    </row>
    <row r="46" spans="1:21" s="5" customFormat="1" ht="15" customHeight="1" outlineLevel="1">
      <c r="A46" s="4"/>
      <c r="G46" s="19"/>
      <c r="H46" s="19"/>
      <c r="J46" s="19"/>
      <c r="N46" s="9"/>
    </row>
    <row r="47" spans="1:21" s="5" customFormat="1" ht="15" customHeight="1" outlineLevel="1" thickBot="1">
      <c r="D47" s="5" t="s">
        <v>34</v>
      </c>
      <c r="J47" s="19"/>
      <c r="N47" s="9"/>
    </row>
    <row r="48" spans="1:21" s="5" customFormat="1" ht="45" customHeight="1" outlineLevel="1" thickBot="1">
      <c r="E48" s="37" t="s">
        <v>35</v>
      </c>
      <c r="F48" s="127" t="s">
        <v>112</v>
      </c>
      <c r="G48" s="128"/>
      <c r="H48" s="128"/>
      <c r="I48" s="128"/>
      <c r="J48" s="128"/>
      <c r="K48" s="129"/>
      <c r="N48" s="9"/>
    </row>
    <row r="49" spans="4:16" s="5" customFormat="1" ht="15" customHeight="1" outlineLevel="1" thickBot="1">
      <c r="J49" s="19"/>
      <c r="N49" s="9"/>
    </row>
    <row r="50" spans="4:16" s="5" customFormat="1" ht="15" customHeight="1" outlineLevel="1" thickBot="1">
      <c r="D50" s="38"/>
      <c r="E50" s="5" t="s">
        <v>37</v>
      </c>
      <c r="F50" s="42"/>
      <c r="G50" s="5" t="s">
        <v>38</v>
      </c>
      <c r="J50" s="19"/>
      <c r="N50" s="9"/>
    </row>
    <row r="51" spans="4:16" s="5" customFormat="1" ht="15" customHeight="1" outlineLevel="1" thickBot="1">
      <c r="D51" s="40"/>
      <c r="F51" s="9"/>
      <c r="G51" s="130">
        <f>+F50*H44*H45/100000</f>
        <v>0</v>
      </c>
      <c r="H51" s="131"/>
      <c r="I51" s="5" t="s">
        <v>39</v>
      </c>
      <c r="J51" s="41" t="s">
        <v>40</v>
      </c>
      <c r="K51" s="38"/>
      <c r="L51" s="38"/>
      <c r="N51" s="9"/>
    </row>
    <row r="52" spans="4:16" s="5" customFormat="1" ht="15" customHeight="1" outlineLevel="1" thickBot="1">
      <c r="D52" s="38"/>
      <c r="E52" s="5" t="s">
        <v>41</v>
      </c>
      <c r="F52" s="78">
        <v>2776219200</v>
      </c>
      <c r="G52" s="5" t="s">
        <v>42</v>
      </c>
      <c r="J52" s="41"/>
      <c r="K52" s="38"/>
      <c r="L52" s="38"/>
      <c r="N52" s="9"/>
    </row>
    <row r="53" spans="4:16" s="5" customFormat="1" ht="15" customHeight="1" outlineLevel="1">
      <c r="D53" s="40"/>
      <c r="G53" s="111">
        <f>+F52*H45/100000</f>
        <v>71626.455360000007</v>
      </c>
      <c r="H53" s="112"/>
      <c r="I53" s="5" t="s">
        <v>39</v>
      </c>
      <c r="J53" s="41" t="s">
        <v>40</v>
      </c>
      <c r="K53" s="38"/>
      <c r="L53" s="38"/>
      <c r="N53" s="9"/>
    </row>
    <row r="54" spans="4:16" s="5" customFormat="1" ht="15" customHeight="1" outlineLevel="1">
      <c r="J54" s="19"/>
      <c r="N54" s="9"/>
    </row>
    <row r="55" spans="4:16" s="5" customFormat="1" ht="15" customHeight="1" outlineLevel="1" thickBot="1">
      <c r="D55" s="5" t="s">
        <v>43</v>
      </c>
      <c r="J55" s="19"/>
      <c r="N55" s="9"/>
    </row>
    <row r="56" spans="4:16" s="5" customFormat="1" ht="45" customHeight="1" outlineLevel="1" thickBot="1">
      <c r="E56" s="37" t="s">
        <v>44</v>
      </c>
      <c r="F56" s="127" t="s">
        <v>113</v>
      </c>
      <c r="G56" s="128"/>
      <c r="H56" s="128"/>
      <c r="I56" s="128"/>
      <c r="J56" s="128"/>
      <c r="K56" s="129"/>
      <c r="N56" s="9"/>
    </row>
    <row r="57" spans="4:16" s="5" customFormat="1" ht="15" customHeight="1" outlineLevel="1" thickBot="1">
      <c r="J57" s="19"/>
      <c r="N57" s="9"/>
    </row>
    <row r="58" spans="4:16" s="5" customFormat="1" ht="15" customHeight="1" outlineLevel="1" thickBot="1">
      <c r="D58" s="38"/>
      <c r="E58" s="5" t="s">
        <v>37</v>
      </c>
      <c r="F58" s="42"/>
      <c r="G58" s="43" t="s">
        <v>38</v>
      </c>
      <c r="H58" s="43"/>
      <c r="J58" s="19"/>
      <c r="N58" s="9"/>
    </row>
    <row r="59" spans="4:16" s="5" customFormat="1" ht="15" customHeight="1" outlineLevel="1" thickBot="1">
      <c r="D59" s="40"/>
      <c r="F59" s="9"/>
      <c r="G59" s="111">
        <f>+F58*H44*H45/100000</f>
        <v>0</v>
      </c>
      <c r="H59" s="112"/>
      <c r="I59" s="5" t="s">
        <v>39</v>
      </c>
      <c r="J59" s="19" t="s">
        <v>46</v>
      </c>
      <c r="K59" s="40"/>
      <c r="L59" s="40"/>
      <c r="N59" s="9"/>
    </row>
    <row r="60" spans="4:16" s="5" customFormat="1" ht="15" customHeight="1" outlineLevel="1" thickBot="1">
      <c r="D60" s="38"/>
      <c r="E60" s="5" t="s">
        <v>41</v>
      </c>
      <c r="F60" s="82">
        <v>2554236050</v>
      </c>
      <c r="G60" s="5" t="s">
        <v>42</v>
      </c>
      <c r="J60" s="19"/>
      <c r="N60" s="9"/>
    </row>
    <row r="61" spans="4:16" s="5" customFormat="1" ht="15" customHeight="1" outlineLevel="1">
      <c r="D61" s="40"/>
      <c r="G61" s="111">
        <f>+F60*H45/100000</f>
        <v>65899.290089999995</v>
      </c>
      <c r="H61" s="112"/>
      <c r="I61" s="5" t="s">
        <v>39</v>
      </c>
      <c r="J61" s="19" t="s">
        <v>46</v>
      </c>
      <c r="K61" s="40"/>
      <c r="L61" s="40"/>
      <c r="N61" s="9"/>
    </row>
    <row r="62" spans="4:16" s="5" customFormat="1" ht="15" customHeight="1" outlineLevel="1" thickBot="1">
      <c r="J62" s="19"/>
      <c r="N62" s="9"/>
    </row>
    <row r="63" spans="4:16" s="5" customFormat="1" ht="15" customHeight="1" outlineLevel="1" thickBot="1">
      <c r="D63" s="5" t="s">
        <v>47</v>
      </c>
      <c r="E63" s="5" t="s">
        <v>48</v>
      </c>
      <c r="F63" s="186">
        <f>SUM(G51,G53)-SUM(G59,G61)</f>
        <v>5727.1652700000122</v>
      </c>
      <c r="G63" s="187"/>
      <c r="H63" s="5" t="s">
        <v>39</v>
      </c>
      <c r="J63" s="19"/>
      <c r="N63" s="9"/>
      <c r="P63" s="45"/>
    </row>
    <row r="64" spans="4:16" ht="6" customHeight="1" outlineLevel="1">
      <c r="F64" s="46"/>
      <c r="G64" s="46"/>
    </row>
    <row r="65" spans="2:11" ht="6" customHeight="1" outlineLevel="1">
      <c r="F65" s="46"/>
      <c r="G65" s="46"/>
    </row>
    <row r="66" spans="2:11" ht="20.100000000000001" customHeight="1" outlineLevel="1">
      <c r="F66" s="46"/>
      <c r="G66" s="46"/>
      <c r="K66" s="7"/>
    </row>
    <row r="67" spans="2:11" ht="20.100000000000001" customHeight="1" outlineLevel="1">
      <c r="B67" s="47" t="s">
        <v>49</v>
      </c>
      <c r="K67" s="7" t="s">
        <v>123</v>
      </c>
    </row>
    <row r="68" spans="2:11" ht="30" customHeight="1" outlineLevel="1" thickBot="1">
      <c r="B68" s="28"/>
      <c r="D68" s="134" t="s">
        <v>28</v>
      </c>
      <c r="E68" s="134"/>
      <c r="F68" s="134"/>
      <c r="G68" s="134"/>
      <c r="H68" s="134"/>
      <c r="I68" s="134"/>
      <c r="J68" s="134"/>
      <c r="K68" s="134"/>
    </row>
    <row r="69" spans="2:11" ht="399.95" customHeight="1" outlineLevel="1" thickBot="1">
      <c r="D69" s="170" t="s">
        <v>114</v>
      </c>
      <c r="E69" s="171"/>
      <c r="F69" s="171"/>
      <c r="G69" s="171"/>
      <c r="H69" s="171"/>
      <c r="I69" s="171"/>
      <c r="J69" s="171"/>
      <c r="K69" s="172"/>
    </row>
    <row r="70" spans="2:11" ht="15" customHeight="1" outlineLevel="1" thickBot="1">
      <c r="D70" s="48"/>
      <c r="E70" s="48"/>
      <c r="F70" s="48"/>
      <c r="G70" s="48"/>
      <c r="H70" s="48"/>
      <c r="I70" s="48"/>
    </row>
    <row r="71" spans="2:11" ht="45" customHeight="1" outlineLevel="1" thickBot="1">
      <c r="D71" s="138" t="s">
        <v>50</v>
      </c>
      <c r="E71" s="139"/>
      <c r="F71" s="140" t="s">
        <v>93</v>
      </c>
      <c r="G71" s="141"/>
      <c r="H71" s="141"/>
      <c r="I71" s="141"/>
      <c r="J71" s="141"/>
      <c r="K71" s="142"/>
    </row>
    <row r="72" spans="2:11" ht="15" customHeight="1" outlineLevel="1">
      <c r="D72" s="48"/>
      <c r="E72" s="48"/>
      <c r="F72" s="48"/>
      <c r="G72" s="48"/>
      <c r="H72" s="48"/>
      <c r="I72" s="48"/>
    </row>
    <row r="73" spans="2:11" ht="20.100000000000001" customHeight="1" outlineLevel="1">
      <c r="D73" s="48"/>
      <c r="E73" s="48"/>
      <c r="F73" s="48"/>
      <c r="G73" s="48"/>
      <c r="H73" s="48"/>
      <c r="I73" s="48"/>
      <c r="J73" s="49" t="s">
        <v>52</v>
      </c>
    </row>
    <row r="74" spans="2:11" ht="20.100000000000001" customHeight="1" outlineLevel="1" thickBot="1">
      <c r="D74" s="4" t="s">
        <v>53</v>
      </c>
      <c r="K74" s="50" t="s">
        <v>2</v>
      </c>
    </row>
    <row r="75" spans="2:11" ht="33" customHeight="1" outlineLevel="1" thickBot="1">
      <c r="D75" s="143" t="s">
        <v>54</v>
      </c>
      <c r="E75" s="51" t="s">
        <v>55</v>
      </c>
      <c r="F75" s="145" t="s">
        <v>56</v>
      </c>
      <c r="G75" s="145"/>
      <c r="H75" s="146" t="s">
        <v>57</v>
      </c>
      <c r="I75" s="148" t="s">
        <v>58</v>
      </c>
      <c r="K75" s="150" t="s">
        <v>59</v>
      </c>
    </row>
    <row r="76" spans="2:11" ht="30" customHeight="1" outlineLevel="1">
      <c r="D76" s="144"/>
      <c r="E76" s="52" t="s">
        <v>60</v>
      </c>
      <c r="F76" s="53" t="s">
        <v>61</v>
      </c>
      <c r="G76" s="54" t="s">
        <v>62</v>
      </c>
      <c r="H76" s="147"/>
      <c r="I76" s="149"/>
      <c r="K76" s="151"/>
    </row>
    <row r="77" spans="2:11" ht="15" customHeight="1" outlineLevel="1">
      <c r="D77" s="55">
        <v>2024</v>
      </c>
      <c r="E77" s="56">
        <v>59</v>
      </c>
      <c r="F77" s="57"/>
      <c r="G77" s="58">
        <f>IF(E77="","",F77/E77)</f>
        <v>0</v>
      </c>
      <c r="H77" s="59"/>
      <c r="I77" s="60">
        <f>F77-H77</f>
        <v>0</v>
      </c>
      <c r="K77" s="61">
        <f t="shared" ref="K77:K93" si="2">I77*F$63/10000</f>
        <v>0</v>
      </c>
    </row>
    <row r="78" spans="2:11" ht="15" customHeight="1" outlineLevel="1">
      <c r="D78" s="55">
        <v>2025</v>
      </c>
      <c r="E78" s="56">
        <f t="shared" ref="E78:E93" si="3">E77+1</f>
        <v>60</v>
      </c>
      <c r="F78" s="57"/>
      <c r="G78" s="58">
        <f t="shared" ref="G78:G93" si="4">IF(E78="","",F78/E78)</f>
        <v>0</v>
      </c>
      <c r="H78" s="59"/>
      <c r="I78" s="60">
        <f>I77+F78-H78</f>
        <v>0</v>
      </c>
      <c r="K78" s="61">
        <f t="shared" si="2"/>
        <v>0</v>
      </c>
    </row>
    <row r="79" spans="2:11" ht="15" customHeight="1" outlineLevel="1">
      <c r="D79" s="55">
        <v>2026</v>
      </c>
      <c r="E79" s="56">
        <f t="shared" si="3"/>
        <v>61</v>
      </c>
      <c r="F79" s="57"/>
      <c r="G79" s="58">
        <f t="shared" si="4"/>
        <v>0</v>
      </c>
      <c r="H79" s="59"/>
      <c r="I79" s="60">
        <f t="shared" ref="I79:I92" si="5">I78+F79-H79</f>
        <v>0</v>
      </c>
      <c r="K79" s="61">
        <f t="shared" si="2"/>
        <v>0</v>
      </c>
    </row>
    <row r="80" spans="2:11" ht="15" customHeight="1" outlineLevel="1">
      <c r="D80" s="55">
        <v>2027</v>
      </c>
      <c r="E80" s="56">
        <f t="shared" si="3"/>
        <v>62</v>
      </c>
      <c r="F80" s="56">
        <v>1</v>
      </c>
      <c r="G80" s="58">
        <f t="shared" si="4"/>
        <v>1.6129032258064516E-2</v>
      </c>
      <c r="H80" s="59"/>
      <c r="I80" s="60">
        <f t="shared" si="5"/>
        <v>1</v>
      </c>
      <c r="K80" s="61">
        <f t="shared" si="2"/>
        <v>0.5727165270000012</v>
      </c>
    </row>
    <row r="81" spans="4:11" ht="15" customHeight="1" outlineLevel="1">
      <c r="D81" s="55">
        <v>2028</v>
      </c>
      <c r="E81" s="56">
        <f t="shared" si="3"/>
        <v>63</v>
      </c>
      <c r="F81" s="56">
        <v>1</v>
      </c>
      <c r="G81" s="58">
        <f t="shared" si="4"/>
        <v>1.5873015873015872E-2</v>
      </c>
      <c r="H81" s="59"/>
      <c r="I81" s="60">
        <f t="shared" si="5"/>
        <v>2</v>
      </c>
      <c r="K81" s="61">
        <f t="shared" si="2"/>
        <v>1.1454330540000024</v>
      </c>
    </row>
    <row r="82" spans="4:11" ht="15" customHeight="1" outlineLevel="1">
      <c r="D82" s="55">
        <v>2029</v>
      </c>
      <c r="E82" s="56">
        <f t="shared" si="3"/>
        <v>64</v>
      </c>
      <c r="F82" s="56">
        <v>1</v>
      </c>
      <c r="G82" s="58">
        <f t="shared" si="4"/>
        <v>1.5625E-2</v>
      </c>
      <c r="H82" s="59"/>
      <c r="I82" s="60">
        <f t="shared" si="5"/>
        <v>3</v>
      </c>
      <c r="K82" s="61">
        <f t="shared" si="2"/>
        <v>1.7181495810000036</v>
      </c>
    </row>
    <row r="83" spans="4:11" ht="15" customHeight="1" outlineLevel="1">
      <c r="D83" s="55">
        <v>2030</v>
      </c>
      <c r="E83" s="56">
        <f t="shared" si="3"/>
        <v>65</v>
      </c>
      <c r="F83" s="56">
        <v>1</v>
      </c>
      <c r="G83" s="58">
        <f t="shared" si="4"/>
        <v>1.5384615384615385E-2</v>
      </c>
      <c r="H83" s="59"/>
      <c r="I83" s="60">
        <f t="shared" si="5"/>
        <v>4</v>
      </c>
      <c r="K83" s="61">
        <f t="shared" si="2"/>
        <v>2.2908661080000048</v>
      </c>
    </row>
    <row r="84" spans="4:11" ht="15" customHeight="1" outlineLevel="1">
      <c r="D84" s="55">
        <v>2031</v>
      </c>
      <c r="E84" s="56">
        <f t="shared" si="3"/>
        <v>66</v>
      </c>
      <c r="F84" s="56">
        <v>1</v>
      </c>
      <c r="G84" s="58">
        <f t="shared" si="4"/>
        <v>1.5151515151515152E-2</v>
      </c>
      <c r="H84" s="59"/>
      <c r="I84" s="60">
        <f t="shared" si="5"/>
        <v>5</v>
      </c>
      <c r="K84" s="61">
        <f t="shared" si="2"/>
        <v>2.863582635000006</v>
      </c>
    </row>
    <row r="85" spans="4:11" ht="15" customHeight="1" outlineLevel="1">
      <c r="D85" s="55">
        <v>2032</v>
      </c>
      <c r="E85" s="56">
        <f t="shared" si="3"/>
        <v>67</v>
      </c>
      <c r="F85" s="56">
        <v>2</v>
      </c>
      <c r="G85" s="58">
        <f t="shared" si="4"/>
        <v>2.9850746268656716E-2</v>
      </c>
      <c r="H85" s="59"/>
      <c r="I85" s="60">
        <f t="shared" si="5"/>
        <v>7</v>
      </c>
      <c r="K85" s="61">
        <f t="shared" si="2"/>
        <v>4.0090156890000088</v>
      </c>
    </row>
    <row r="86" spans="4:11" ht="15" customHeight="1" outlineLevel="1">
      <c r="D86" s="55">
        <v>2033</v>
      </c>
      <c r="E86" s="56">
        <f t="shared" si="3"/>
        <v>68</v>
      </c>
      <c r="F86" s="56">
        <v>2</v>
      </c>
      <c r="G86" s="58">
        <f t="shared" si="4"/>
        <v>2.9411764705882353E-2</v>
      </c>
      <c r="H86" s="59"/>
      <c r="I86" s="60">
        <f t="shared" si="5"/>
        <v>9</v>
      </c>
      <c r="K86" s="61">
        <f t="shared" si="2"/>
        <v>5.1544487430000112</v>
      </c>
    </row>
    <row r="87" spans="4:11" ht="15" customHeight="1" outlineLevel="1">
      <c r="D87" s="55">
        <v>2034</v>
      </c>
      <c r="E87" s="56">
        <f t="shared" si="3"/>
        <v>69</v>
      </c>
      <c r="F87" s="56">
        <v>2</v>
      </c>
      <c r="G87" s="58">
        <f t="shared" si="4"/>
        <v>2.8985507246376812E-2</v>
      </c>
      <c r="H87" s="59"/>
      <c r="I87" s="60">
        <f t="shared" si="5"/>
        <v>11</v>
      </c>
      <c r="K87" s="61">
        <f t="shared" si="2"/>
        <v>6.2998817970000136</v>
      </c>
    </row>
    <row r="88" spans="4:11" ht="15" customHeight="1" outlineLevel="1">
      <c r="D88" s="55">
        <v>2035</v>
      </c>
      <c r="E88" s="56">
        <f t="shared" si="3"/>
        <v>70</v>
      </c>
      <c r="F88" s="56">
        <v>2</v>
      </c>
      <c r="G88" s="58">
        <f t="shared" si="4"/>
        <v>2.8571428571428571E-2</v>
      </c>
      <c r="H88" s="59"/>
      <c r="I88" s="60">
        <f t="shared" si="5"/>
        <v>13</v>
      </c>
      <c r="K88" s="61">
        <f t="shared" si="2"/>
        <v>7.445314851000016</v>
      </c>
    </row>
    <row r="89" spans="4:11" ht="15" customHeight="1" outlineLevel="1">
      <c r="D89" s="55">
        <v>2036</v>
      </c>
      <c r="E89" s="56">
        <f t="shared" si="3"/>
        <v>71</v>
      </c>
      <c r="F89" s="56">
        <v>3</v>
      </c>
      <c r="G89" s="58">
        <f t="shared" si="4"/>
        <v>4.2253521126760563E-2</v>
      </c>
      <c r="H89" s="59"/>
      <c r="I89" s="60">
        <f t="shared" si="5"/>
        <v>16</v>
      </c>
      <c r="K89" s="61">
        <f t="shared" si="2"/>
        <v>9.1634644320000191</v>
      </c>
    </row>
    <row r="90" spans="4:11" ht="15" customHeight="1" outlineLevel="1">
      <c r="D90" s="55">
        <v>2037</v>
      </c>
      <c r="E90" s="56">
        <f t="shared" si="3"/>
        <v>72</v>
      </c>
      <c r="F90" s="56">
        <v>3</v>
      </c>
      <c r="G90" s="58">
        <f t="shared" si="4"/>
        <v>4.1666666666666664E-2</v>
      </c>
      <c r="H90" s="59"/>
      <c r="I90" s="60">
        <f t="shared" si="5"/>
        <v>19</v>
      </c>
      <c r="K90" s="61">
        <f t="shared" si="2"/>
        <v>10.881614013000023</v>
      </c>
    </row>
    <row r="91" spans="4:11" ht="15" customHeight="1" outlineLevel="1">
      <c r="D91" s="55">
        <v>2038</v>
      </c>
      <c r="E91" s="56">
        <f t="shared" si="3"/>
        <v>73</v>
      </c>
      <c r="F91" s="56">
        <v>3</v>
      </c>
      <c r="G91" s="58">
        <f t="shared" si="4"/>
        <v>4.1095890410958902E-2</v>
      </c>
      <c r="H91" s="59"/>
      <c r="I91" s="60">
        <f t="shared" si="5"/>
        <v>22</v>
      </c>
      <c r="K91" s="61">
        <f t="shared" si="2"/>
        <v>12.599763594000027</v>
      </c>
    </row>
    <row r="92" spans="4:11" ht="15" customHeight="1" outlineLevel="1">
      <c r="D92" s="55">
        <v>2039</v>
      </c>
      <c r="E92" s="56">
        <f t="shared" si="3"/>
        <v>74</v>
      </c>
      <c r="F92" s="56">
        <v>4</v>
      </c>
      <c r="G92" s="58">
        <f t="shared" si="4"/>
        <v>5.4054054054054057E-2</v>
      </c>
      <c r="H92" s="59"/>
      <c r="I92" s="60">
        <f t="shared" si="5"/>
        <v>26</v>
      </c>
      <c r="K92" s="61">
        <f t="shared" si="2"/>
        <v>14.890629702000032</v>
      </c>
    </row>
    <row r="93" spans="4:11" ht="15" customHeight="1" outlineLevel="1" thickBot="1">
      <c r="D93" s="55">
        <v>2040</v>
      </c>
      <c r="E93" s="62">
        <f t="shared" si="3"/>
        <v>75</v>
      </c>
      <c r="F93" s="62">
        <v>4</v>
      </c>
      <c r="G93" s="64">
        <f t="shared" si="4"/>
        <v>5.3333333333333337E-2</v>
      </c>
      <c r="H93" s="65"/>
      <c r="I93" s="66">
        <f>I92+F93-H93</f>
        <v>30</v>
      </c>
      <c r="K93" s="67">
        <f t="shared" si="2"/>
        <v>17.181495810000037</v>
      </c>
    </row>
    <row r="94" spans="4:11" ht="15" customHeight="1" outlineLevel="1">
      <c r="D94" s="68"/>
      <c r="E94" s="69"/>
      <c r="F94" s="70"/>
      <c r="G94" s="69"/>
      <c r="H94" s="69"/>
      <c r="I94" s="71" t="s">
        <v>63</v>
      </c>
      <c r="K94" s="72" t="s">
        <v>64</v>
      </c>
    </row>
    <row r="95" spans="4:11" ht="15" customHeight="1"/>
    <row r="96" spans="4:11" s="5" customFormat="1" ht="6" customHeight="1" outlineLevel="1"/>
    <row r="97" s="4" customFormat="1" ht="20.100000000000001" customHeight="1" outlineLevel="1"/>
    <row r="98" s="4" customFormat="1" ht="20.100000000000001" customHeight="1" outlineLevel="1"/>
    <row r="99" s="4" customFormat="1" ht="15" customHeight="1" outlineLevel="1"/>
    <row r="100" s="4" customFormat="1" ht="15" customHeight="1" outlineLevel="1"/>
    <row r="101" s="4" customFormat="1" ht="15" customHeight="1" outlineLevel="1"/>
    <row r="102" s="4" customFormat="1" ht="20.100000000000001" customHeight="1" outlineLevel="1"/>
    <row r="103" s="4" customFormat="1" ht="15" customHeight="1" outlineLevel="1"/>
    <row r="104" s="4" customFormat="1" ht="15" customHeight="1" outlineLevel="1"/>
    <row r="105" s="4" customFormat="1" ht="15" customHeight="1" outlineLevel="1"/>
    <row r="106" s="4" customFormat="1" ht="15" customHeight="1" outlineLevel="1"/>
    <row r="107" s="4" customFormat="1" ht="15" customHeight="1" outlineLevel="1"/>
    <row r="108" s="4" customFormat="1" ht="15" customHeight="1" outlineLevel="1"/>
    <row r="109" s="4" customFormat="1" ht="20.100000000000001" customHeight="1" outlineLevel="1"/>
    <row r="110" s="4" customFormat="1" ht="20.100000000000001" customHeight="1" outlineLevel="1"/>
    <row r="111" s="4" customFormat="1" ht="20.100000000000001" customHeight="1" outlineLevel="1"/>
    <row r="112" s="4" customFormat="1" ht="20.100000000000001" customHeight="1" outlineLevel="1"/>
    <row r="113" s="4" customFormat="1" ht="9.9499999999999993" customHeight="1" outlineLevel="1"/>
    <row r="114" s="4" customFormat="1" ht="52.5" customHeight="1" outlineLevel="1"/>
    <row r="115" s="4" customFormat="1" ht="15" customHeight="1" outlineLevel="1"/>
    <row r="116" s="4" customFormat="1" ht="20.100000000000001" customHeight="1" outlineLevel="1"/>
    <row r="117" s="4" customFormat="1" ht="30" customHeight="1" outlineLevel="1"/>
    <row r="118" s="4" customFormat="1" ht="399.95" customHeight="1" outlineLevel="1"/>
    <row r="119" s="5" customFormat="1" ht="15" customHeight="1" outlineLevel="1"/>
    <row r="120" s="5" customFormat="1" ht="15" customHeight="1" outlineLevel="1"/>
    <row r="121" s="5" customFormat="1" ht="15" customHeight="1" outlineLevel="1"/>
    <row r="122" s="5" customFormat="1" ht="15" customHeight="1" outlineLevel="1"/>
    <row r="123" s="5" customFormat="1" ht="15" customHeight="1" outlineLevel="1"/>
    <row r="124" s="5" customFormat="1" ht="45" customHeight="1" outlineLevel="1"/>
    <row r="125" s="5" customFormat="1" ht="15" customHeight="1" outlineLevel="1"/>
    <row r="126" s="5" customFormat="1" ht="15" customHeight="1" outlineLevel="1"/>
    <row r="127" s="5" customFormat="1" ht="15" customHeight="1" outlineLevel="1"/>
    <row r="128" s="5" customFormat="1" ht="15" customHeight="1" outlineLevel="1"/>
    <row r="129" s="5" customFormat="1" ht="15" customHeight="1" outlineLevel="1"/>
    <row r="130" s="5" customFormat="1" ht="15" customHeight="1" outlineLevel="1"/>
    <row r="131" s="5" customFormat="1" ht="15" customHeight="1" outlineLevel="1"/>
    <row r="132" s="5" customFormat="1" ht="45" customHeight="1" outlineLevel="1"/>
    <row r="133" s="5" customFormat="1" ht="15" customHeight="1" outlineLevel="1"/>
    <row r="134" s="5" customFormat="1" ht="15" customHeight="1" outlineLevel="1"/>
    <row r="135" s="5" customFormat="1" ht="15" customHeight="1" outlineLevel="1"/>
    <row r="136" s="5" customFormat="1" ht="15" customHeight="1" outlineLevel="1"/>
    <row r="137" s="5" customFormat="1" ht="15" customHeight="1" outlineLevel="1"/>
    <row r="138" s="5" customFormat="1" ht="15" customHeight="1" outlineLevel="1"/>
    <row r="139" s="5" customFormat="1" ht="15" customHeight="1" outlineLevel="1"/>
    <row r="140" s="4" customFormat="1" ht="6" customHeight="1" outlineLevel="1"/>
    <row r="141" s="4" customFormat="1" ht="6" customHeight="1" outlineLevel="1"/>
    <row r="142" s="4" customFormat="1" ht="20.100000000000001" customHeight="1" outlineLevel="1"/>
    <row r="143" s="4" customFormat="1" ht="20.100000000000001" customHeight="1" outlineLevel="1"/>
    <row r="144" s="4" customFormat="1" ht="30" customHeight="1" outlineLevel="1"/>
    <row r="145" s="4" customFormat="1" ht="399.95" customHeight="1" outlineLevel="1"/>
    <row r="146" s="4" customFormat="1" ht="15" customHeight="1" outlineLevel="1"/>
    <row r="147" s="4" customFormat="1" ht="45" customHeight="1" outlineLevel="1"/>
    <row r="148" s="4" customFormat="1" ht="15" customHeight="1" outlineLevel="1"/>
    <row r="149" s="4" customFormat="1" ht="20.100000000000001" customHeight="1" outlineLevel="1"/>
    <row r="150" s="4" customFormat="1" ht="20.100000000000001" customHeight="1" outlineLevel="1"/>
    <row r="151" s="4" customFormat="1" ht="33" customHeight="1" outlineLevel="1"/>
    <row r="152" s="4" customFormat="1" ht="30" customHeight="1" outlineLevel="1"/>
    <row r="153" s="4" customFormat="1" ht="15" customHeight="1" outlineLevel="1"/>
    <row r="154" s="4" customFormat="1" ht="15" customHeight="1" outlineLevel="1"/>
    <row r="155" s="4" customFormat="1" ht="15" customHeight="1" outlineLevel="1"/>
    <row r="156" s="4" customFormat="1" ht="15" customHeight="1" outlineLevel="1"/>
    <row r="157" s="4" customFormat="1" ht="15" customHeight="1" outlineLevel="1"/>
    <row r="158" s="4" customFormat="1" ht="15" customHeight="1" outlineLevel="1"/>
    <row r="159" s="4" customFormat="1" ht="15" customHeight="1" outlineLevel="1"/>
    <row r="160" s="4" customFormat="1" ht="15" customHeight="1" outlineLevel="1"/>
    <row r="161" spans="10:14" ht="15" customHeight="1" outlineLevel="1">
      <c r="J161" s="4"/>
      <c r="N161" s="4"/>
    </row>
    <row r="162" spans="10:14" ht="15" customHeight="1" outlineLevel="1">
      <c r="J162" s="4"/>
      <c r="N162" s="4"/>
    </row>
    <row r="163" spans="10:14" ht="15" customHeight="1" outlineLevel="1">
      <c r="J163" s="4"/>
      <c r="N163" s="4"/>
    </row>
    <row r="164" spans="10:14" ht="15" customHeight="1" outlineLevel="1">
      <c r="J164" s="4"/>
      <c r="N164" s="4"/>
    </row>
    <row r="165" spans="10:14" ht="15" customHeight="1" outlineLevel="1">
      <c r="J165" s="4"/>
      <c r="N165" s="4"/>
    </row>
    <row r="166" spans="10:14" ht="15" customHeight="1" outlineLevel="1">
      <c r="J166" s="4"/>
      <c r="N166" s="4"/>
    </row>
    <row r="167" spans="10:14" ht="15" customHeight="1" outlineLevel="1">
      <c r="J167" s="4"/>
      <c r="N167" s="4"/>
    </row>
    <row r="168" spans="10:14" ht="15" customHeight="1" outlineLevel="1">
      <c r="J168" s="4"/>
      <c r="N168" s="4"/>
    </row>
    <row r="169" spans="10:14" ht="15" customHeight="1" outlineLevel="1">
      <c r="J169" s="4"/>
      <c r="N169" s="4"/>
    </row>
    <row r="170" spans="10:14" ht="15" customHeight="1" outlineLevel="1">
      <c r="J170" s="4"/>
      <c r="N170" s="4"/>
    </row>
    <row r="171" spans="10:14" ht="15" customHeight="1"/>
    <row r="172" spans="10:14" s="5" customFormat="1" ht="6" customHeight="1" outlineLevel="1"/>
    <row r="173" spans="10:14" ht="20.100000000000001" customHeight="1" outlineLevel="1">
      <c r="J173" s="4"/>
      <c r="N173" s="4"/>
    </row>
    <row r="174" spans="10:14" ht="20.100000000000001" customHeight="1" outlineLevel="1">
      <c r="J174" s="4"/>
      <c r="N174" s="4"/>
    </row>
    <row r="175" spans="10:14" ht="15" customHeight="1" outlineLevel="1">
      <c r="J175" s="4"/>
      <c r="N175" s="4"/>
    </row>
    <row r="176" spans="10:14" ht="15" customHeight="1" outlineLevel="1">
      <c r="J176" s="4"/>
      <c r="N176" s="4"/>
    </row>
    <row r="177" s="4" customFormat="1" ht="15" customHeight="1" outlineLevel="1"/>
    <row r="178" s="4" customFormat="1" ht="20.100000000000001" customHeight="1" outlineLevel="1"/>
    <row r="179" s="4" customFormat="1" ht="15" customHeight="1" outlineLevel="1"/>
    <row r="180" s="4" customFormat="1" ht="15" customHeight="1" outlineLevel="1"/>
    <row r="181" s="4" customFormat="1" ht="15" customHeight="1" outlineLevel="1"/>
    <row r="182" s="4" customFormat="1" ht="15" customHeight="1" outlineLevel="1"/>
    <row r="183" s="4" customFormat="1" ht="15" customHeight="1" outlineLevel="1"/>
    <row r="184" s="4" customFormat="1" ht="15" customHeight="1" outlineLevel="1"/>
    <row r="185" s="4" customFormat="1" ht="20.100000000000001" customHeight="1" outlineLevel="1"/>
    <row r="186" s="4" customFormat="1" ht="12.75" customHeight="1" outlineLevel="1"/>
    <row r="187" s="4" customFormat="1" ht="20.100000000000001" customHeight="1" outlineLevel="1"/>
    <row r="188" s="4" customFormat="1" ht="20.100000000000001" customHeight="1" outlineLevel="1"/>
    <row r="189" s="4" customFormat="1" ht="9.9499999999999993" customHeight="1" outlineLevel="1"/>
    <row r="190" s="4" customFormat="1" ht="52.5" customHeight="1" outlineLevel="1"/>
    <row r="191" s="4" customFormat="1" ht="15" customHeight="1" outlineLevel="1"/>
    <row r="192" s="4" customFormat="1" ht="20.100000000000001" customHeight="1" outlineLevel="1"/>
    <row r="193" s="4" customFormat="1" ht="30" customHeight="1" outlineLevel="1"/>
    <row r="194" s="4" customFormat="1" ht="399.95" customHeight="1" outlineLevel="1"/>
    <row r="195" s="5" customFormat="1" ht="15" customHeight="1" outlineLevel="1"/>
    <row r="196" s="5" customFormat="1" ht="15" customHeight="1" outlineLevel="1"/>
    <row r="197" s="5" customFormat="1" ht="15" customHeight="1" outlineLevel="1"/>
    <row r="198" s="5" customFormat="1" ht="15" customHeight="1" outlineLevel="1"/>
    <row r="199" s="5" customFormat="1" ht="15" customHeight="1" outlineLevel="1"/>
    <row r="200" s="5" customFormat="1" ht="45" customHeight="1" outlineLevel="1"/>
    <row r="201" s="5" customFormat="1" ht="15" customHeight="1" outlineLevel="1"/>
    <row r="202" s="5" customFormat="1" ht="15" customHeight="1" outlineLevel="1"/>
    <row r="203" s="5" customFormat="1" ht="15" customHeight="1" outlineLevel="1"/>
    <row r="204" s="5" customFormat="1" ht="15" customHeight="1" outlineLevel="1"/>
    <row r="205" s="5" customFormat="1" ht="15" customHeight="1" outlineLevel="1"/>
    <row r="206" s="5" customFormat="1" ht="15" customHeight="1" outlineLevel="1"/>
    <row r="207" s="5" customFormat="1" ht="15" customHeight="1" outlineLevel="1"/>
    <row r="208" s="5" customFormat="1" ht="45" customHeight="1" outlineLevel="1"/>
    <row r="209" s="5" customFormat="1" ht="15" customHeight="1" outlineLevel="1"/>
    <row r="210" s="5" customFormat="1" ht="15" customHeight="1" outlineLevel="1"/>
    <row r="211" s="5" customFormat="1" ht="15" customHeight="1" outlineLevel="1"/>
    <row r="212" s="5" customFormat="1" ht="15" customHeight="1" outlineLevel="1"/>
    <row r="213" s="5" customFormat="1" ht="15" customHeight="1" outlineLevel="1"/>
    <row r="214" s="5" customFormat="1" ht="15" customHeight="1" outlineLevel="1"/>
    <row r="215" s="5" customFormat="1" ht="15" customHeight="1" outlineLevel="1"/>
    <row r="216" s="4" customFormat="1" ht="6" customHeight="1" outlineLevel="1"/>
    <row r="217" s="4" customFormat="1" ht="6" customHeight="1" outlineLevel="1"/>
    <row r="218" s="4" customFormat="1" ht="20.100000000000001" customHeight="1" outlineLevel="1"/>
    <row r="219" s="4" customFormat="1" ht="20.100000000000001" customHeight="1" outlineLevel="1"/>
    <row r="220" s="4" customFormat="1" ht="30" customHeight="1" outlineLevel="1"/>
    <row r="221" s="4" customFormat="1" ht="399.95" customHeight="1" outlineLevel="1"/>
    <row r="222" s="4" customFormat="1" ht="15" customHeight="1" outlineLevel="1"/>
    <row r="223" s="4" customFormat="1" ht="45" customHeight="1" outlineLevel="1"/>
    <row r="224" s="4" customFormat="1" ht="15" customHeight="1" outlineLevel="1"/>
    <row r="225" s="4" customFormat="1" ht="20.100000000000001" customHeight="1" outlineLevel="1"/>
    <row r="226" s="4" customFormat="1" ht="20.100000000000001" customHeight="1" outlineLevel="1"/>
    <row r="227" s="4" customFormat="1" ht="33" customHeight="1" outlineLevel="1"/>
    <row r="228" s="4" customFormat="1" ht="30" customHeight="1" outlineLevel="1"/>
    <row r="229" s="4" customFormat="1" ht="15" customHeight="1" outlineLevel="1"/>
    <row r="230" s="4" customFormat="1" ht="15" customHeight="1" outlineLevel="1"/>
    <row r="231" s="4" customFormat="1" ht="15" customHeight="1" outlineLevel="1"/>
    <row r="232" s="4" customFormat="1" ht="15" customHeight="1" outlineLevel="1"/>
    <row r="233" s="4" customFormat="1" ht="15" customHeight="1" outlineLevel="1"/>
    <row r="234" s="4" customFormat="1" ht="15" customHeight="1" outlineLevel="1"/>
    <row r="235" s="4" customFormat="1" ht="15" customHeight="1" outlineLevel="1"/>
    <row r="236" s="4" customFormat="1" ht="15" customHeight="1" outlineLevel="1"/>
    <row r="237" s="4" customFormat="1" ht="15" customHeight="1" outlineLevel="1"/>
    <row r="238" s="4" customFormat="1" ht="15" customHeight="1" outlineLevel="1"/>
    <row r="239" s="4" customFormat="1" ht="15" customHeight="1" outlineLevel="1"/>
    <row r="240" s="4" customFormat="1" ht="15" customHeight="1" outlineLevel="1"/>
    <row r="241" spans="10:14" ht="15" customHeight="1" outlineLevel="1">
      <c r="J241" s="4"/>
      <c r="N241" s="4"/>
    </row>
    <row r="242" spans="10:14" ht="15" customHeight="1" outlineLevel="1">
      <c r="J242" s="4"/>
      <c r="N242" s="4"/>
    </row>
    <row r="243" spans="10:14" ht="15" customHeight="1" outlineLevel="1">
      <c r="J243" s="4"/>
      <c r="N243" s="4"/>
    </row>
    <row r="244" spans="10:14" ht="15" customHeight="1" outlineLevel="1">
      <c r="J244" s="4"/>
      <c r="N244" s="4"/>
    </row>
    <row r="245" spans="10:14" ht="15" customHeight="1" outlineLevel="1">
      <c r="J245" s="4"/>
      <c r="N245" s="4"/>
    </row>
    <row r="246" spans="10:14" ht="15" customHeight="1" outlineLevel="1">
      <c r="J246" s="4"/>
      <c r="N246" s="4"/>
    </row>
    <row r="247" spans="10:14" ht="15" customHeight="1"/>
    <row r="248" spans="10:14" ht="6" customHeight="1" outlineLevel="1">
      <c r="J248" s="4"/>
      <c r="N248" s="4"/>
    </row>
    <row r="249" spans="10:14" ht="20.100000000000001" customHeight="1" outlineLevel="1">
      <c r="J249" s="4"/>
      <c r="N249" s="4"/>
    </row>
    <row r="250" spans="10:14" ht="20.100000000000001" customHeight="1" outlineLevel="1">
      <c r="J250" s="4"/>
      <c r="N250" s="4"/>
    </row>
    <row r="251" spans="10:14" ht="15" customHeight="1" outlineLevel="1">
      <c r="J251" s="4"/>
      <c r="N251" s="4"/>
    </row>
    <row r="252" spans="10:14" ht="15" customHeight="1" outlineLevel="1">
      <c r="J252" s="4"/>
      <c r="N252" s="4"/>
    </row>
    <row r="253" spans="10:14" ht="15" customHeight="1" outlineLevel="1">
      <c r="J253" s="4"/>
      <c r="N253" s="4"/>
    </row>
    <row r="254" spans="10:14" ht="20.100000000000001" customHeight="1" outlineLevel="1">
      <c r="J254" s="4"/>
      <c r="N254" s="4"/>
    </row>
    <row r="255" spans="10:14" ht="15" customHeight="1" outlineLevel="1">
      <c r="J255" s="4"/>
      <c r="N255" s="4"/>
    </row>
    <row r="256" spans="10:14" ht="15" customHeight="1" outlineLevel="1">
      <c r="J256" s="4"/>
      <c r="N256" s="4"/>
    </row>
    <row r="257" s="4" customFormat="1" ht="20.100000000000001" customHeight="1" outlineLevel="1"/>
    <row r="258" s="4" customFormat="1" ht="20.100000000000001" customHeight="1" outlineLevel="1"/>
    <row r="259" s="4" customFormat="1" ht="20.100000000000001" customHeight="1" outlineLevel="1"/>
    <row r="260" s="4" customFormat="1" ht="20.100000000000001" customHeight="1" outlineLevel="1"/>
    <row r="261" s="4" customFormat="1" ht="9.9499999999999993" customHeight="1" outlineLevel="1"/>
    <row r="262" s="4" customFormat="1" ht="52.5" customHeight="1" outlineLevel="1"/>
    <row r="263" s="4" customFormat="1" ht="15" customHeight="1" outlineLevel="1"/>
    <row r="264" s="4" customFormat="1" ht="20.100000000000001" customHeight="1" outlineLevel="1"/>
    <row r="265" s="73" customFormat="1" ht="30" customHeight="1" outlineLevel="1"/>
    <row r="266" s="73" customFormat="1" ht="399.95" customHeight="1" outlineLevel="1"/>
    <row r="267" s="73" customFormat="1" ht="13.5" outlineLevel="1"/>
    <row r="268" s="73" customFormat="1" ht="13.5" outlineLevel="1"/>
    <row r="269" s="73" customFormat="1" ht="13.5" outlineLevel="1"/>
    <row r="270" s="73" customFormat="1" ht="13.5" outlineLevel="1"/>
    <row r="271" s="73" customFormat="1" ht="13.5" outlineLevel="1"/>
    <row r="272" s="73" customFormat="1" ht="90" customHeight="1" outlineLevel="1"/>
    <row r="273" s="73" customFormat="1" ht="13.5" outlineLevel="1"/>
    <row r="274" s="73" customFormat="1" ht="13.5" outlineLevel="1"/>
    <row r="275" s="73" customFormat="1" ht="90" customHeight="1" outlineLevel="1"/>
    <row r="276" s="73" customFormat="1" ht="13.5" outlineLevel="1"/>
    <row r="277" s="73" customFormat="1" ht="13.5" outlineLevel="1"/>
    <row r="278" s="73" customFormat="1" ht="13.5" outlineLevel="1"/>
    <row r="279" s="73" customFormat="1" ht="20.100000000000001" customHeight="1" outlineLevel="1"/>
    <row r="280" s="73" customFormat="1" ht="20.100000000000001" customHeight="1" outlineLevel="1"/>
    <row r="281" s="73" customFormat="1" ht="30" customHeight="1" outlineLevel="1"/>
    <row r="282" s="73" customFormat="1" ht="399.95" customHeight="1" outlineLevel="1"/>
    <row r="283" s="73" customFormat="1" ht="15" customHeight="1" outlineLevel="1"/>
    <row r="284" s="73" customFormat="1" ht="45" customHeight="1" outlineLevel="1"/>
    <row r="285" s="73" customFormat="1" ht="15" customHeight="1" outlineLevel="1"/>
    <row r="286" s="73" customFormat="1" ht="20.100000000000001" customHeight="1" outlineLevel="1"/>
    <row r="287" s="73" customFormat="1" ht="20.100000000000001" customHeight="1" outlineLevel="1"/>
    <row r="288" s="73" customFormat="1" ht="33" customHeight="1" outlineLevel="1"/>
    <row r="289" s="73" customFormat="1" ht="30" customHeight="1" outlineLevel="1"/>
    <row r="290" s="73" customFormat="1" ht="15" customHeight="1" outlineLevel="1"/>
    <row r="291" s="73" customFormat="1" ht="15" customHeight="1" outlineLevel="1"/>
    <row r="292" s="73" customFormat="1" ht="15" customHeight="1" outlineLevel="1"/>
    <row r="293" s="73" customFormat="1" ht="15" customHeight="1" outlineLevel="1"/>
    <row r="294" s="73" customFormat="1" ht="15" customHeight="1" outlineLevel="1"/>
    <row r="295" s="73" customFormat="1" ht="15" customHeight="1" outlineLevel="1"/>
    <row r="296" s="73" customFormat="1" ht="15" customHeight="1" outlineLevel="1"/>
    <row r="297" s="73" customFormat="1" ht="15" customHeight="1" outlineLevel="1"/>
    <row r="298" s="73" customFormat="1" ht="15" customHeight="1" outlineLevel="1"/>
    <row r="299" s="73" customFormat="1" ht="15" customHeight="1" outlineLevel="1"/>
    <row r="300" s="73" customFormat="1" ht="15" customHeight="1" outlineLevel="1"/>
    <row r="301" s="73" customFormat="1" ht="15" customHeight="1" outlineLevel="1"/>
    <row r="302" s="73" customFormat="1" ht="15" customHeight="1" outlineLevel="1"/>
    <row r="303" s="73" customFormat="1" ht="15" customHeight="1" outlineLevel="1"/>
    <row r="304" s="73" customFormat="1" ht="15" customHeight="1" outlineLevel="1"/>
    <row r="305" s="73" customFormat="1" ht="15" customHeight="1" outlineLevel="1"/>
    <row r="306" s="73" customFormat="1" ht="15" customHeight="1" outlineLevel="1"/>
    <row r="307" s="73" customFormat="1" ht="15" customHeight="1" outlineLevel="1"/>
    <row r="308" ht="15" customHeight="1"/>
  </sheetData>
  <mergeCells count="28">
    <mergeCell ref="G61:H61"/>
    <mergeCell ref="F63:G63"/>
    <mergeCell ref="D68:K68"/>
    <mergeCell ref="D69:K69"/>
    <mergeCell ref="D71:E71"/>
    <mergeCell ref="F71:K71"/>
    <mergeCell ref="D75:D76"/>
    <mergeCell ref="F75:G75"/>
    <mergeCell ref="H75:H76"/>
    <mergeCell ref="I75:I76"/>
    <mergeCell ref="K75:K76"/>
    <mergeCell ref="G59:H59"/>
    <mergeCell ref="F23:H23"/>
    <mergeCell ref="F26:G26"/>
    <mergeCell ref="F33:G33"/>
    <mergeCell ref="F36:G36"/>
    <mergeCell ref="F38:K38"/>
    <mergeCell ref="D41:K41"/>
    <mergeCell ref="D42:K42"/>
    <mergeCell ref="F48:K48"/>
    <mergeCell ref="G51:H51"/>
    <mergeCell ref="G53:H53"/>
    <mergeCell ref="F56:K56"/>
    <mergeCell ref="B5:K5"/>
    <mergeCell ref="F11:H11"/>
    <mergeCell ref="F13:H13"/>
    <mergeCell ref="C16:K16"/>
    <mergeCell ref="C17:K18"/>
  </mergeCells>
  <phoneticPr fontId="2"/>
  <dataValidations count="1">
    <dataValidation type="list" allowBlank="1" showInputMessage="1" showErrorMessage="1" sqref="H32" xr:uid="{D9C550BC-D215-4E53-859F-7569272ED24E}">
      <formula1>$D$77:$D$93</formula1>
    </dataValidation>
  </dataValidations>
  <pageMargins left="0.70866141732283472" right="0.70866141732283472" top="0.74803149606299213" bottom="0.74803149606299213" header="0.31496062992125984" footer="0.31496062992125984"/>
  <pageSetup paperSize="9" scale="60" fitToHeight="0" orientation="portrait" r:id="rId1"/>
  <rowBreaks count="2" manualBreakCount="2">
    <brk id="19" max="16383" man="1"/>
    <brk id="6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○目次</vt:lpstr>
      <vt:lpstr>例①</vt:lpstr>
      <vt:lpstr>例②</vt:lpstr>
      <vt:lpstr>例③</vt:lpstr>
      <vt:lpstr>例④</vt:lpstr>
      <vt:lpstr>(例⑤は欠番)</vt:lpstr>
      <vt:lpstr>例⑥</vt:lpstr>
      <vt:lpstr>例⑦</vt:lpstr>
      <vt:lpstr>例⑧</vt:lpstr>
      <vt:lpstr>例⑨</vt:lpstr>
      <vt:lpstr>例①!Print_Area</vt:lpstr>
      <vt:lpstr>例②!Print_Area</vt:lpstr>
      <vt:lpstr>例③!Print_Area</vt:lpstr>
      <vt:lpstr>例④!Print_Area</vt:lpstr>
      <vt:lpstr>例⑥!Print_Area</vt:lpstr>
      <vt:lpstr>例⑦!Print_Area</vt:lpstr>
      <vt:lpstr>例⑧!Print_Area</vt:lpstr>
      <vt:lpstr>例⑨!Print_Area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